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tabRatio="755" activeTab="0"/>
  </bookViews>
  <sheets>
    <sheet name="単価表基本" sheetId="1" r:id="rId1"/>
    <sheet name="単価表深夜＋早朝" sheetId="2" r:id="rId2"/>
    <sheet name="単価表早朝+日中" sheetId="3" r:id="rId3"/>
    <sheet name="単価表日中＋夜間" sheetId="4" r:id="rId4"/>
    <sheet name="単価表夜間+深夜" sheetId="5" r:id="rId5"/>
    <sheet name="単価表増分" sheetId="6" r:id="rId6"/>
  </sheets>
  <definedNames/>
  <calcPr fullCalcOnLoad="1"/>
</workbook>
</file>

<file path=xl/sharedStrings.xml><?xml version="1.0" encoding="utf-8"?>
<sst xmlns="http://schemas.openxmlformats.org/spreadsheetml/2006/main" count="439" uniqueCount="328">
  <si>
    <t>移動支援計算票</t>
  </si>
  <si>
    <t>A身体を伴う</t>
  </si>
  <si>
    <t>コード</t>
  </si>
  <si>
    <t>名称</t>
  </si>
  <si>
    <t>加算</t>
  </si>
  <si>
    <t>サービス単価</t>
  </si>
  <si>
    <t>伴う日中0.5</t>
  </si>
  <si>
    <t>伴う日中1</t>
  </si>
  <si>
    <t>伴う日中1.5</t>
  </si>
  <si>
    <t>伴う日中2</t>
  </si>
  <si>
    <t>伴う日中2.5</t>
  </si>
  <si>
    <t>伴う日中3</t>
  </si>
  <si>
    <t>伴う日中4</t>
  </si>
  <si>
    <t>伴う日中5</t>
  </si>
  <si>
    <t>伴う日中6</t>
  </si>
  <si>
    <t>伴う日中3.5</t>
  </si>
  <si>
    <t>伴う日中4.5</t>
  </si>
  <si>
    <t>伴う日中5.5</t>
  </si>
  <si>
    <t>伴う日中6.5</t>
  </si>
  <si>
    <t>伴う日中7</t>
  </si>
  <si>
    <t>伴う日中7.5</t>
  </si>
  <si>
    <t>伴う日中8</t>
  </si>
  <si>
    <t>伴う日中8.5</t>
  </si>
  <si>
    <t>伴う日中9</t>
  </si>
  <si>
    <t>伴う日中9.5</t>
  </si>
  <si>
    <t>伴う日中10</t>
  </si>
  <si>
    <t>伴う早朝夜間0.5</t>
  </si>
  <si>
    <t>伴う早朝夜間1</t>
  </si>
  <si>
    <t>伴う早朝夜間1.5</t>
  </si>
  <si>
    <t>伴う早朝夜間2</t>
  </si>
  <si>
    <t>伴う早朝夜間2.5</t>
  </si>
  <si>
    <t>伴う早朝夜間3</t>
  </si>
  <si>
    <t>伴う早朝夜間3.5</t>
  </si>
  <si>
    <t>伴う早朝夜間4</t>
  </si>
  <si>
    <t>伴う早朝夜間4.5</t>
  </si>
  <si>
    <t>伴う早朝夜間5</t>
  </si>
  <si>
    <t>伴う早朝夜間5.5</t>
  </si>
  <si>
    <t>伴う早朝夜間6</t>
  </si>
  <si>
    <t>伴う深夜0.5</t>
  </si>
  <si>
    <t>伴う深夜1</t>
  </si>
  <si>
    <t>伴う深夜1.5</t>
  </si>
  <si>
    <t>伴う深夜2</t>
  </si>
  <si>
    <t>伴う深夜2.5</t>
  </si>
  <si>
    <t>伴う深夜3</t>
  </si>
  <si>
    <t>伴う深夜3.5</t>
  </si>
  <si>
    <t>伴う深夜4</t>
  </si>
  <si>
    <t>伴う深夜4.5</t>
  </si>
  <si>
    <t>伴う深夜5</t>
  </si>
  <si>
    <t>伴う深夜5.5</t>
  </si>
  <si>
    <t>伴う深夜6</t>
  </si>
  <si>
    <t>伴う深夜6.5</t>
  </si>
  <si>
    <t>伴う深夜7</t>
  </si>
  <si>
    <t>伴う深夜7.5</t>
  </si>
  <si>
    <t>伴う深夜8</t>
  </si>
  <si>
    <t>B身体を伴わない</t>
  </si>
  <si>
    <t>伴わない日中0.5</t>
  </si>
  <si>
    <t>伴わない日中1</t>
  </si>
  <si>
    <t>伴わない日中1.5</t>
  </si>
  <si>
    <t>伴わない日中2</t>
  </si>
  <si>
    <t>伴わない日中2.5</t>
  </si>
  <si>
    <t>伴わない日中3</t>
  </si>
  <si>
    <t>伴わない日中3.5</t>
  </si>
  <si>
    <t>伴わない日中4</t>
  </si>
  <si>
    <t>伴わない日中4.5</t>
  </si>
  <si>
    <t>伴わない日中5</t>
  </si>
  <si>
    <t>伴わない日中5.5</t>
  </si>
  <si>
    <t>伴わない日中6</t>
  </si>
  <si>
    <t>伴わない日中6.5</t>
  </si>
  <si>
    <t>伴わない日中7</t>
  </si>
  <si>
    <t>伴わない日中7.5</t>
  </si>
  <si>
    <t>伴わない日中8</t>
  </si>
  <si>
    <t>伴わない日中8.5</t>
  </si>
  <si>
    <t>伴わない日中9</t>
  </si>
  <si>
    <t>伴わない日中9.5</t>
  </si>
  <si>
    <t>伴わない日中10</t>
  </si>
  <si>
    <t>伴わない早朝夜間0.5</t>
  </si>
  <si>
    <t>伴わない早朝夜間1</t>
  </si>
  <si>
    <t>伴わない早朝夜間1.5</t>
  </si>
  <si>
    <t>伴わない早朝夜間2</t>
  </si>
  <si>
    <t>伴わない早朝夜間2.5</t>
  </si>
  <si>
    <t>伴わない早朝夜間3</t>
  </si>
  <si>
    <t>伴わない早朝夜間3.5</t>
  </si>
  <si>
    <t>伴わない早朝夜間4</t>
  </si>
  <si>
    <t>伴わない早朝夜間4.5</t>
  </si>
  <si>
    <t>伴わない早朝夜間5</t>
  </si>
  <si>
    <t>伴わない早朝夜間5.5</t>
  </si>
  <si>
    <t>伴わない早朝夜間6</t>
  </si>
  <si>
    <t>伴わない深夜0.5</t>
  </si>
  <si>
    <t>伴わない深夜1</t>
  </si>
  <si>
    <t>伴わない深夜1.5</t>
  </si>
  <si>
    <t>伴わない深夜2</t>
  </si>
  <si>
    <t>伴わない深夜2.5</t>
  </si>
  <si>
    <t>伴わない深夜3</t>
  </si>
  <si>
    <t>伴わない深夜3.5</t>
  </si>
  <si>
    <t>伴わない深夜4</t>
  </si>
  <si>
    <t>伴わない深夜4.5</t>
  </si>
  <si>
    <t>伴わない深夜5</t>
  </si>
  <si>
    <t>伴わない深夜5.5</t>
  </si>
  <si>
    <t>伴わない深夜6</t>
  </si>
  <si>
    <t>伴わない深夜6.5</t>
  </si>
  <si>
    <t>伴わない深夜7</t>
  </si>
  <si>
    <t>伴わない深夜7.5</t>
  </si>
  <si>
    <t>伴わない深夜8</t>
  </si>
  <si>
    <t>利用者負担</t>
  </si>
  <si>
    <t>伴う深夜0.5早朝0.5</t>
  </si>
  <si>
    <t>　</t>
  </si>
  <si>
    <t>A</t>
  </si>
  <si>
    <t>伴う深夜0.5早朝1</t>
  </si>
  <si>
    <t>伴う深夜0.5早朝2</t>
  </si>
  <si>
    <t>伴う深夜0.5早朝1.5</t>
  </si>
  <si>
    <t>伴う深夜1早朝0.5</t>
  </si>
  <si>
    <t>伴う深夜1早朝1</t>
  </si>
  <si>
    <t>伴う深夜1早朝1.5</t>
  </si>
  <si>
    <t>伴う深夜1早朝2</t>
  </si>
  <si>
    <t>伴う深夜1.5早朝0.5</t>
  </si>
  <si>
    <t>伴う深夜1.5早朝1.5</t>
  </si>
  <si>
    <t>伴う深夜2早朝0.5</t>
  </si>
  <si>
    <t>伴う深夜2早朝1</t>
  </si>
  <si>
    <t>伴う深夜2.5早朝0.5</t>
  </si>
  <si>
    <t>割合</t>
  </si>
  <si>
    <t>伴う深夜1.5早朝1</t>
  </si>
  <si>
    <t>A'</t>
  </si>
  <si>
    <t>B'</t>
  </si>
  <si>
    <t>B（総時間-A)</t>
  </si>
  <si>
    <t>伴う早朝0.5日中0.5</t>
  </si>
  <si>
    <t>伴う早朝0.5日中1</t>
  </si>
  <si>
    <t>伴う早朝0.5日中1.5</t>
  </si>
  <si>
    <t>伴う早朝0.5日中2</t>
  </si>
  <si>
    <t>伴う早朝0.5日中2.5</t>
  </si>
  <si>
    <t>伴う早朝1日中0.5</t>
  </si>
  <si>
    <t>伴う早朝1日中1</t>
  </si>
  <si>
    <t>伴う早朝1日中1.5</t>
  </si>
  <si>
    <t>伴う早朝1日中2</t>
  </si>
  <si>
    <t>伴う早朝1.5日中0.5</t>
  </si>
  <si>
    <t>伴う早朝1.5日中1</t>
  </si>
  <si>
    <t>伴う早朝1.5日中1.5</t>
  </si>
  <si>
    <t>伴う早朝2日中0.5</t>
  </si>
  <si>
    <t>伴う早朝2日中1</t>
  </si>
  <si>
    <t>伴う早朝2.5日中0.5</t>
  </si>
  <si>
    <t>伴う日中増0.5</t>
  </si>
  <si>
    <t>伴う日中増1</t>
  </si>
  <si>
    <t>伴う日中増1.5</t>
  </si>
  <si>
    <t>伴う日中増2</t>
  </si>
  <si>
    <t>伴う日中増2.5</t>
  </si>
  <si>
    <t>伴う日中増3</t>
  </si>
  <si>
    <t>伴う日中増3.5</t>
  </si>
  <si>
    <t>伴う日中増4</t>
  </si>
  <si>
    <t>伴う日中増4.5</t>
  </si>
  <si>
    <t>伴う日中増5</t>
  </si>
  <si>
    <t>伴う日中増5.5</t>
  </si>
  <si>
    <t>伴う日中増6</t>
  </si>
  <si>
    <t>伴う日中増6.5</t>
  </si>
  <si>
    <t>伴う日中増7</t>
  </si>
  <si>
    <t>伴う日中増7.5</t>
  </si>
  <si>
    <t>伴う日中増8</t>
  </si>
  <si>
    <t>伴う日中増8.5</t>
  </si>
  <si>
    <t>伴う日中増9</t>
  </si>
  <si>
    <t>伴う日中増9.5</t>
  </si>
  <si>
    <t>伴う日中増10</t>
  </si>
  <si>
    <t>伴う早朝夜間増0.5</t>
  </si>
  <si>
    <t>伴う早朝夜間増1</t>
  </si>
  <si>
    <t>伴う早朝夜間増1.5</t>
  </si>
  <si>
    <t>伴う早朝夜間増2</t>
  </si>
  <si>
    <t>伴う早朝夜間増2.5</t>
  </si>
  <si>
    <t>伴う早朝夜間増3</t>
  </si>
  <si>
    <t>伴う早朝夜間増3.5</t>
  </si>
  <si>
    <t>伴う早朝夜間増4</t>
  </si>
  <si>
    <t>伴う早朝夜間増4.5</t>
  </si>
  <si>
    <t>伴う早朝夜間増5</t>
  </si>
  <si>
    <t>伴う早朝夜間増5.5</t>
  </si>
  <si>
    <t>伴う早朝夜間増6</t>
  </si>
  <si>
    <t>伴う深夜増0.5</t>
  </si>
  <si>
    <t>伴う深夜増1</t>
  </si>
  <si>
    <t>伴う深夜増1.5</t>
  </si>
  <si>
    <t>伴う深夜増2</t>
  </si>
  <si>
    <t>伴う深夜増2.5</t>
  </si>
  <si>
    <t>伴う深夜増3</t>
  </si>
  <si>
    <t>伴う深夜増3.5</t>
  </si>
  <si>
    <t>伴う深夜増4</t>
  </si>
  <si>
    <t>伴う深夜増4.5</t>
  </si>
  <si>
    <t>伴う深夜増5</t>
  </si>
  <si>
    <t>伴う深夜増5.5</t>
  </si>
  <si>
    <t>伴う深夜増6</t>
  </si>
  <si>
    <t>伴う深夜増6.5</t>
  </si>
  <si>
    <t>伴う深夜増7</t>
  </si>
  <si>
    <t>伴う深夜増7.5</t>
  </si>
  <si>
    <t>伴う深夜増8</t>
  </si>
  <si>
    <t>伴う日中0.5夜間0.5</t>
  </si>
  <si>
    <t>伴う日中0.5夜間1</t>
  </si>
  <si>
    <t>伴う日中0.5夜間1.5</t>
  </si>
  <si>
    <t>伴う日中0.5夜間2</t>
  </si>
  <si>
    <t>伴う日中0.5夜間2.5</t>
  </si>
  <si>
    <t>伴う日中1夜間0.5</t>
  </si>
  <si>
    <t>伴う日中1夜間1</t>
  </si>
  <si>
    <t>伴う日中1夜間1.5</t>
  </si>
  <si>
    <t>伴う日中1夜間2</t>
  </si>
  <si>
    <t>伴う日中1.5夜間0.5</t>
  </si>
  <si>
    <t>伴う日中1.5夜間1</t>
  </si>
  <si>
    <t>伴う日中1.5夜間1.5</t>
  </si>
  <si>
    <t>伴う日中2夜間0.5</t>
  </si>
  <si>
    <t>伴う日中2夜間1</t>
  </si>
  <si>
    <t>伴う日中2.5夜間0.5</t>
  </si>
  <si>
    <t>伴う日中0.5夜間3</t>
  </si>
  <si>
    <t>伴う日中0.5夜間3.5</t>
  </si>
  <si>
    <t>伴う日中1夜間3</t>
  </si>
  <si>
    <t>伴う日中1夜間2.5</t>
  </si>
  <si>
    <t>伴う日中1.5夜間2</t>
  </si>
  <si>
    <t>伴う日中1.5夜間2.5</t>
  </si>
  <si>
    <t>伴う日中2夜間2</t>
  </si>
  <si>
    <t>伴う日中2夜間1.5</t>
  </si>
  <si>
    <t>伴う深夜1.5早朝2</t>
  </si>
  <si>
    <t>伴う深夜2早朝2</t>
  </si>
  <si>
    <t>伴う深夜2早朝1.5</t>
  </si>
  <si>
    <t>伴う深夜2.5早朝1</t>
  </si>
  <si>
    <t>伴う深夜2.5早朝1.5</t>
  </si>
  <si>
    <t>伴う深夜3早朝0.5</t>
  </si>
  <si>
    <t>伴う深夜3早朝1</t>
  </si>
  <si>
    <t>伴う深夜3.5早朝0.5</t>
  </si>
  <si>
    <t>伴う早朝0.5日中3</t>
  </si>
  <si>
    <t>伴う早朝0.5日中3.5</t>
  </si>
  <si>
    <t>伴う早朝1日中3</t>
  </si>
  <si>
    <t>伴う早朝1日中2.5</t>
  </si>
  <si>
    <t>伴う早朝1.5日中2</t>
  </si>
  <si>
    <t>伴う早朝1.5日中2.5</t>
  </si>
  <si>
    <t>伴う早朝2日中2</t>
  </si>
  <si>
    <t>伴う早朝2日中1.5</t>
  </si>
  <si>
    <t>伴う早朝2.5日中1</t>
  </si>
  <si>
    <t>伴う早朝2.5日中1.5</t>
  </si>
  <si>
    <t>伴う早朝3日中0.5</t>
  </si>
  <si>
    <t>伴う早朝3日中1</t>
  </si>
  <si>
    <t>伴う早朝3.5日中0.5</t>
  </si>
  <si>
    <t>伴う日中3夜間0.5</t>
  </si>
  <si>
    <t>伴う日中3夜間1</t>
  </si>
  <si>
    <t>伴う日中3.5夜間0.5</t>
  </si>
  <si>
    <t>伴う日中2.5夜間1</t>
  </si>
  <si>
    <t>伴う日中2.5夜間1.5</t>
  </si>
  <si>
    <t>伴う夜間0.5深夜0.5</t>
  </si>
  <si>
    <t>伴う夜間0.5深夜1</t>
  </si>
  <si>
    <t>伴う夜間0.5深夜1.5</t>
  </si>
  <si>
    <t>伴う夜間0.5深夜2</t>
  </si>
  <si>
    <t>伴う夜間0.5深夜2.5</t>
  </si>
  <si>
    <t>伴う夜間0.5深夜3</t>
  </si>
  <si>
    <t>伴う夜間0.5深夜3.5</t>
  </si>
  <si>
    <t>伴う夜間1深夜0.5</t>
  </si>
  <si>
    <t>伴う夜間1深夜1</t>
  </si>
  <si>
    <t>伴う夜間1深夜1.5</t>
  </si>
  <si>
    <t>伴う夜間1深夜2</t>
  </si>
  <si>
    <t>伴う夜間1深夜2.5</t>
  </si>
  <si>
    <t>伴う夜間1深夜3</t>
  </si>
  <si>
    <t>伴う夜間1.5深夜0.5</t>
  </si>
  <si>
    <t>伴う夜間1.5深夜1</t>
  </si>
  <si>
    <t>伴う夜間1.5深夜1.5</t>
  </si>
  <si>
    <t>伴う夜間1.5深夜2</t>
  </si>
  <si>
    <t>伴う夜間1.5深夜2.5</t>
  </si>
  <si>
    <t>伴う夜間2深夜0.5</t>
  </si>
  <si>
    <t>伴う夜間2深夜1</t>
  </si>
  <si>
    <t>伴う夜間2深夜1.5</t>
  </si>
  <si>
    <t>伴う夜間2深夜2</t>
  </si>
  <si>
    <t>伴う夜間2.5深夜0.5</t>
  </si>
  <si>
    <t>伴う夜間2.5深夜1</t>
  </si>
  <si>
    <t>伴う夜間2.5深夜1.5</t>
  </si>
  <si>
    <t>伴う夜間3深夜0.5</t>
  </si>
  <si>
    <t>伴う夜間3深夜1</t>
  </si>
  <si>
    <t>伴う夜間3.5深夜0.5</t>
  </si>
  <si>
    <t>伴わない深夜0.5早朝0.5</t>
  </si>
  <si>
    <t xml:space="preserve"> </t>
  </si>
  <si>
    <t xml:space="preserve"> </t>
  </si>
  <si>
    <t>伴わない早朝0.5日中0.5</t>
  </si>
  <si>
    <t>伴わない日中0.5夜間0.5</t>
  </si>
  <si>
    <t>伴わない夜間0.5深夜0.5</t>
  </si>
  <si>
    <t>伴う深夜0.5早朝2日中0.5</t>
  </si>
  <si>
    <t>伴う深夜0.5早朝2日中1</t>
  </si>
  <si>
    <t>伴う深夜0.5早朝2日中1.5</t>
  </si>
  <si>
    <t>伴う深夜1早朝2日中0.5</t>
  </si>
  <si>
    <t>伴う深夜1早朝2日中1</t>
  </si>
  <si>
    <t>伴う深夜1.5早朝2日中0.5</t>
  </si>
  <si>
    <t>伴わない日中増0.5</t>
  </si>
  <si>
    <t>伴わない日中増1</t>
  </si>
  <si>
    <t>伴わない日中増1.5</t>
  </si>
  <si>
    <t>伴わない日中増2</t>
  </si>
  <si>
    <t>伴わない日中増2.5</t>
  </si>
  <si>
    <t>伴わない日中増3</t>
  </si>
  <si>
    <t>伴わない日中増3.5</t>
  </si>
  <si>
    <t>伴わない日中増4</t>
  </si>
  <si>
    <t>伴わない日中増4.5</t>
  </si>
  <si>
    <t>伴わない日中増5</t>
  </si>
  <si>
    <t>伴わない日中増5.5</t>
  </si>
  <si>
    <t>伴わない日中増6</t>
  </si>
  <si>
    <t>伴わない日中増6.5</t>
  </si>
  <si>
    <t>伴わない日中増7</t>
  </si>
  <si>
    <t>伴わない日中増7.5</t>
  </si>
  <si>
    <t>伴わない日中増8</t>
  </si>
  <si>
    <t>伴わない日中増8.5</t>
  </si>
  <si>
    <t>伴わない日中増9</t>
  </si>
  <si>
    <t>伴わない日中増9.5</t>
  </si>
  <si>
    <t>伴わない日中増10</t>
  </si>
  <si>
    <t>伴わない早朝夜間増0.5</t>
  </si>
  <si>
    <t>伴わない早朝夜間増1</t>
  </si>
  <si>
    <t>伴わない早朝夜間増1.5</t>
  </si>
  <si>
    <t>伴わない早朝夜間増2</t>
  </si>
  <si>
    <t>伴わない早朝夜間増2.5</t>
  </si>
  <si>
    <t>伴わない早朝夜間増3</t>
  </si>
  <si>
    <t>伴わない早朝夜間増3.5</t>
  </si>
  <si>
    <t>伴わない早朝夜間増4</t>
  </si>
  <si>
    <t>伴わない早朝夜間増4.5</t>
  </si>
  <si>
    <t>伴わない早朝夜間増5</t>
  </si>
  <si>
    <t>伴わない早朝夜間増5.5</t>
  </si>
  <si>
    <t>伴わない早朝夜間増6</t>
  </si>
  <si>
    <t>伴わない深夜増0.5</t>
  </si>
  <si>
    <t>伴わない深夜増1</t>
  </si>
  <si>
    <t>伴わない深夜増1.5</t>
  </si>
  <si>
    <t>伴わない深夜増2</t>
  </si>
  <si>
    <t>伴わない深夜増2.5</t>
  </si>
  <si>
    <t>伴わない深夜増3</t>
  </si>
  <si>
    <t>伴わない深夜増3.5</t>
  </si>
  <si>
    <t>伴わない深夜増4</t>
  </si>
  <si>
    <t>伴わない深夜増4.5</t>
  </si>
  <si>
    <t>伴わない深夜増5</t>
  </si>
  <si>
    <t>伴わない深夜増5.5</t>
  </si>
  <si>
    <t>伴わない深夜増6</t>
  </si>
  <si>
    <t>伴わない深夜増6.5</t>
  </si>
  <si>
    <t>伴わない深夜増7</t>
  </si>
  <si>
    <t>伴わない深夜増7.5</t>
  </si>
  <si>
    <t>伴わない深夜増8</t>
  </si>
  <si>
    <t>サービス単価A'+B'</t>
  </si>
  <si>
    <t>A</t>
  </si>
  <si>
    <t>A</t>
  </si>
  <si>
    <t>移動支援単価計算票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</si>
</sst>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]000\-00;000\-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2" max="2" width="15.375" style="0" customWidth="1"/>
    <col min="4" max="4" width="7.375" style="0" customWidth="1"/>
    <col min="5" max="5" width="10.875" style="0" customWidth="1"/>
    <col min="6" max="6" width="13.375" style="0" customWidth="1"/>
    <col min="7" max="7" width="11.50390625" style="0" customWidth="1"/>
    <col min="9" max="9" width="19.00390625" style="0" customWidth="1"/>
    <col min="10" max="10" width="9.00390625" style="0" customWidth="1"/>
    <col min="11" max="11" width="7.75390625" style="0" customWidth="1"/>
    <col min="13" max="13" width="13.00390625" style="0" customWidth="1"/>
    <col min="14" max="14" width="11.625" style="0" customWidth="1"/>
  </cols>
  <sheetData>
    <row r="1" spans="1:3" ht="13.5">
      <c r="A1" s="1" t="s">
        <v>327</v>
      </c>
      <c r="B1" s="5"/>
      <c r="C1" s="9"/>
    </row>
    <row r="2" spans="1:14" ht="13.5">
      <c r="A2" s="1" t="s">
        <v>1</v>
      </c>
      <c r="B2" s="1"/>
      <c r="C2" s="1"/>
      <c r="D2" s="1"/>
      <c r="E2" s="1"/>
      <c r="F2" s="1"/>
      <c r="G2" s="1"/>
      <c r="H2" s="1" t="s">
        <v>54</v>
      </c>
      <c r="I2" s="1"/>
      <c r="J2" s="1"/>
      <c r="K2" s="1"/>
      <c r="L2" s="1"/>
      <c r="M2" s="1"/>
      <c r="N2" s="1"/>
    </row>
    <row r="3" spans="2:14" ht="13.5">
      <c r="B3" s="1" t="s">
        <v>3</v>
      </c>
      <c r="C3" s="1" t="s">
        <v>326</v>
      </c>
      <c r="D3" s="1" t="s">
        <v>4</v>
      </c>
      <c r="E3" s="1" t="s">
        <v>121</v>
      </c>
      <c r="F3" s="1" t="s">
        <v>5</v>
      </c>
      <c r="G3" s="1" t="s">
        <v>103</v>
      </c>
      <c r="I3" s="1" t="s">
        <v>3</v>
      </c>
      <c r="J3" s="1" t="s">
        <v>326</v>
      </c>
      <c r="K3" s="1" t="s">
        <v>4</v>
      </c>
      <c r="L3" s="1" t="s">
        <v>121</v>
      </c>
      <c r="M3" s="1" t="s">
        <v>5</v>
      </c>
      <c r="N3" s="1" t="s">
        <v>103</v>
      </c>
    </row>
    <row r="4" spans="2:14" ht="14.25" customHeight="1">
      <c r="B4" s="12" t="s">
        <v>6</v>
      </c>
      <c r="C4" s="12">
        <v>2340</v>
      </c>
      <c r="D4" s="12">
        <v>1</v>
      </c>
      <c r="E4" s="12">
        <f>C4*D4</f>
        <v>2340</v>
      </c>
      <c r="F4" s="12">
        <v>2340</v>
      </c>
      <c r="G4" s="12">
        <v>230</v>
      </c>
      <c r="H4" s="10"/>
      <c r="I4" s="12" t="s">
        <v>55</v>
      </c>
      <c r="J4" s="12">
        <v>810</v>
      </c>
      <c r="K4" s="12">
        <v>1</v>
      </c>
      <c r="L4" s="12">
        <f>J4*K4</f>
        <v>810</v>
      </c>
      <c r="M4" s="12">
        <v>810</v>
      </c>
      <c r="N4" s="12">
        <v>80</v>
      </c>
    </row>
    <row r="5" spans="2:14" ht="13.5">
      <c r="B5" s="12" t="s">
        <v>7</v>
      </c>
      <c r="C5" s="12">
        <v>4070</v>
      </c>
      <c r="D5" s="12">
        <v>1</v>
      </c>
      <c r="E5" s="12">
        <f aca="true" t="shared" si="0" ref="E5:E23">C5*D5</f>
        <v>4070</v>
      </c>
      <c r="F5" s="12">
        <v>4070</v>
      </c>
      <c r="G5" s="12">
        <v>400</v>
      </c>
      <c r="H5" s="10"/>
      <c r="I5" s="12" t="s">
        <v>56</v>
      </c>
      <c r="J5" s="12">
        <v>1530</v>
      </c>
      <c r="K5" s="12">
        <v>1</v>
      </c>
      <c r="L5" s="12">
        <f aca="true" t="shared" si="1" ref="L5:L23">J5*K5</f>
        <v>1530</v>
      </c>
      <c r="M5" s="12">
        <v>1530</v>
      </c>
      <c r="N5" s="12">
        <v>150</v>
      </c>
    </row>
    <row r="6" spans="2:14" ht="13.5">
      <c r="B6" s="12" t="s">
        <v>8</v>
      </c>
      <c r="C6" s="12">
        <v>5900</v>
      </c>
      <c r="D6" s="12">
        <v>1</v>
      </c>
      <c r="E6" s="12">
        <f t="shared" si="0"/>
        <v>5900</v>
      </c>
      <c r="F6" s="12">
        <v>5900</v>
      </c>
      <c r="G6" s="12">
        <v>590</v>
      </c>
      <c r="H6" s="10"/>
      <c r="I6" s="12" t="s">
        <v>57</v>
      </c>
      <c r="J6" s="12">
        <f>1530+760</f>
        <v>2290</v>
      </c>
      <c r="K6" s="12">
        <v>1</v>
      </c>
      <c r="L6" s="12">
        <f t="shared" si="1"/>
        <v>2290</v>
      </c>
      <c r="M6" s="12">
        <v>2290</v>
      </c>
      <c r="N6" s="12">
        <v>220</v>
      </c>
    </row>
    <row r="7" spans="2:14" ht="13.5">
      <c r="B7" s="12" t="s">
        <v>9</v>
      </c>
      <c r="C7" s="12">
        <f>5900+1200</f>
        <v>7100</v>
      </c>
      <c r="D7" s="12">
        <v>1</v>
      </c>
      <c r="E7" s="12">
        <f t="shared" si="0"/>
        <v>7100</v>
      </c>
      <c r="F7" s="12">
        <v>7100</v>
      </c>
      <c r="G7" s="12">
        <v>710</v>
      </c>
      <c r="H7" s="10"/>
      <c r="I7" s="12" t="s">
        <v>58</v>
      </c>
      <c r="J7" s="12">
        <f>1530+(760*2)</f>
        <v>3050</v>
      </c>
      <c r="K7" s="12">
        <v>1</v>
      </c>
      <c r="L7" s="12">
        <f t="shared" si="1"/>
        <v>3050</v>
      </c>
      <c r="M7" s="12">
        <v>3050</v>
      </c>
      <c r="N7" s="12">
        <v>300</v>
      </c>
    </row>
    <row r="8" spans="2:14" ht="13.5">
      <c r="B8" s="12" t="s">
        <v>10</v>
      </c>
      <c r="C8" s="12">
        <f>5900+(1200*2)</f>
        <v>8300</v>
      </c>
      <c r="D8" s="12">
        <v>1</v>
      </c>
      <c r="E8" s="12">
        <f t="shared" si="0"/>
        <v>8300</v>
      </c>
      <c r="F8" s="12">
        <v>8300</v>
      </c>
      <c r="G8" s="12">
        <v>830</v>
      </c>
      <c r="H8" s="10"/>
      <c r="I8" s="12" t="s">
        <v>59</v>
      </c>
      <c r="J8" s="12">
        <f>1530+(760*3)</f>
        <v>3810</v>
      </c>
      <c r="K8" s="12">
        <v>1</v>
      </c>
      <c r="L8" s="12">
        <f t="shared" si="1"/>
        <v>3810</v>
      </c>
      <c r="M8" s="12">
        <v>3810</v>
      </c>
      <c r="N8" s="12">
        <v>380</v>
      </c>
    </row>
    <row r="9" spans="2:14" ht="13.5">
      <c r="B9" s="12" t="s">
        <v>11</v>
      </c>
      <c r="C9" s="12">
        <f>5900+(1200*3)</f>
        <v>9500</v>
      </c>
      <c r="D9" s="12">
        <v>1</v>
      </c>
      <c r="E9" s="12">
        <f t="shared" si="0"/>
        <v>9500</v>
      </c>
      <c r="F9" s="12">
        <v>9500</v>
      </c>
      <c r="G9" s="12">
        <v>950</v>
      </c>
      <c r="H9" s="10"/>
      <c r="I9" s="12" t="s">
        <v>60</v>
      </c>
      <c r="J9" s="12">
        <f>1530+(760*4)</f>
        <v>4570</v>
      </c>
      <c r="K9" s="12">
        <v>1</v>
      </c>
      <c r="L9" s="12">
        <f t="shared" si="1"/>
        <v>4570</v>
      </c>
      <c r="M9" s="12">
        <v>4570</v>
      </c>
      <c r="N9" s="12">
        <v>450</v>
      </c>
    </row>
    <row r="10" spans="2:14" ht="13.5">
      <c r="B10" s="12" t="s">
        <v>15</v>
      </c>
      <c r="C10" s="12">
        <f>5900+(1200*4)</f>
        <v>10700</v>
      </c>
      <c r="D10" s="12">
        <v>1</v>
      </c>
      <c r="E10" s="12">
        <f t="shared" si="0"/>
        <v>10700</v>
      </c>
      <c r="F10" s="12">
        <v>10700</v>
      </c>
      <c r="G10" s="12">
        <v>1070</v>
      </c>
      <c r="H10" s="10"/>
      <c r="I10" s="12" t="s">
        <v>61</v>
      </c>
      <c r="J10" s="12">
        <f>1530+(760*5)</f>
        <v>5330</v>
      </c>
      <c r="K10" s="12">
        <v>1</v>
      </c>
      <c r="L10" s="12">
        <f t="shared" si="1"/>
        <v>5330</v>
      </c>
      <c r="M10" s="12">
        <v>5330</v>
      </c>
      <c r="N10" s="12">
        <v>530</v>
      </c>
    </row>
    <row r="11" spans="2:14" ht="13.5">
      <c r="B11" s="12" t="s">
        <v>12</v>
      </c>
      <c r="C11" s="12">
        <f>5900+(1200*5)</f>
        <v>11900</v>
      </c>
      <c r="D11" s="12">
        <v>1</v>
      </c>
      <c r="E11" s="12">
        <f t="shared" si="0"/>
        <v>11900</v>
      </c>
      <c r="F11" s="12">
        <v>11900</v>
      </c>
      <c r="G11" s="12">
        <v>1190</v>
      </c>
      <c r="H11" s="10"/>
      <c r="I11" s="12" t="s">
        <v>62</v>
      </c>
      <c r="J11" s="12">
        <f>1530+(760*6)</f>
        <v>6090</v>
      </c>
      <c r="K11" s="12">
        <v>1</v>
      </c>
      <c r="L11" s="12">
        <f t="shared" si="1"/>
        <v>6090</v>
      </c>
      <c r="M11" s="12">
        <v>6090</v>
      </c>
      <c r="N11" s="12">
        <v>600</v>
      </c>
    </row>
    <row r="12" spans="2:14" ht="13.5">
      <c r="B12" s="12" t="s">
        <v>16</v>
      </c>
      <c r="C12" s="12">
        <f>5900+(1200*5)+830</f>
        <v>12730</v>
      </c>
      <c r="D12" s="12">
        <v>1</v>
      </c>
      <c r="E12" s="12">
        <f t="shared" si="0"/>
        <v>12730</v>
      </c>
      <c r="F12" s="12">
        <v>12730</v>
      </c>
      <c r="G12" s="12">
        <v>1270</v>
      </c>
      <c r="H12" s="10"/>
      <c r="I12" s="12" t="s">
        <v>63</v>
      </c>
      <c r="J12" s="12">
        <f>1530+(760*7)</f>
        <v>6850</v>
      </c>
      <c r="K12" s="12">
        <v>1</v>
      </c>
      <c r="L12" s="12">
        <f t="shared" si="1"/>
        <v>6850</v>
      </c>
      <c r="M12" s="12">
        <v>6850</v>
      </c>
      <c r="N12" s="12">
        <v>680</v>
      </c>
    </row>
    <row r="13" spans="2:14" ht="13.5">
      <c r="B13" s="12" t="s">
        <v>13</v>
      </c>
      <c r="C13" s="12">
        <f>5900+(1200*5)+(830*2)</f>
        <v>13560</v>
      </c>
      <c r="D13" s="12">
        <v>1</v>
      </c>
      <c r="E13" s="12">
        <f t="shared" si="0"/>
        <v>13560</v>
      </c>
      <c r="F13" s="12">
        <v>13560</v>
      </c>
      <c r="G13" s="12">
        <v>1350</v>
      </c>
      <c r="H13" s="10"/>
      <c r="I13" s="12" t="s">
        <v>64</v>
      </c>
      <c r="J13" s="12">
        <f>1530+(760*8)</f>
        <v>7610</v>
      </c>
      <c r="K13" s="12">
        <v>1</v>
      </c>
      <c r="L13" s="12">
        <f t="shared" si="1"/>
        <v>7610</v>
      </c>
      <c r="M13" s="12">
        <v>7610</v>
      </c>
      <c r="N13" s="12">
        <v>760</v>
      </c>
    </row>
    <row r="14" spans="2:14" ht="13.5">
      <c r="B14" s="12" t="s">
        <v>17</v>
      </c>
      <c r="C14" s="12">
        <f>5900+(1200*5)+(830*3)</f>
        <v>14390</v>
      </c>
      <c r="D14" s="12">
        <v>1</v>
      </c>
      <c r="E14" s="12">
        <f t="shared" si="0"/>
        <v>14390</v>
      </c>
      <c r="F14" s="12">
        <v>14390</v>
      </c>
      <c r="G14" s="12">
        <v>1430</v>
      </c>
      <c r="H14" s="10"/>
      <c r="I14" s="12" t="s">
        <v>65</v>
      </c>
      <c r="J14" s="12">
        <f>1530+(760*9)</f>
        <v>8370</v>
      </c>
      <c r="K14" s="12">
        <v>1</v>
      </c>
      <c r="L14" s="12">
        <f t="shared" si="1"/>
        <v>8370</v>
      </c>
      <c r="M14" s="12">
        <v>8370</v>
      </c>
      <c r="N14" s="12">
        <v>830</v>
      </c>
    </row>
    <row r="15" spans="2:14" ht="13.5">
      <c r="B15" s="12" t="s">
        <v>14</v>
      </c>
      <c r="C15" s="12">
        <f>5900+(1200*5)+(830*4)</f>
        <v>15220</v>
      </c>
      <c r="D15" s="12">
        <v>1</v>
      </c>
      <c r="E15" s="12">
        <f t="shared" si="0"/>
        <v>15220</v>
      </c>
      <c r="F15" s="12">
        <v>15220</v>
      </c>
      <c r="G15" s="12">
        <v>1520</v>
      </c>
      <c r="H15" s="10"/>
      <c r="I15" s="12" t="s">
        <v>66</v>
      </c>
      <c r="J15" s="12">
        <f>1530+(760*10)</f>
        <v>9130</v>
      </c>
      <c r="K15" s="12">
        <v>1</v>
      </c>
      <c r="L15" s="12">
        <f t="shared" si="1"/>
        <v>9130</v>
      </c>
      <c r="M15" s="12">
        <v>9130</v>
      </c>
      <c r="N15" s="12">
        <v>910</v>
      </c>
    </row>
    <row r="16" spans="2:14" ht="13.5">
      <c r="B16" s="12" t="s">
        <v>18</v>
      </c>
      <c r="C16" s="12">
        <f>5900+(1200*5)+(830*5)</f>
        <v>16050</v>
      </c>
      <c r="D16" s="12">
        <v>1</v>
      </c>
      <c r="E16" s="12">
        <f t="shared" si="0"/>
        <v>16050</v>
      </c>
      <c r="F16" s="12">
        <v>16050</v>
      </c>
      <c r="G16" s="12">
        <v>1600</v>
      </c>
      <c r="H16" s="10"/>
      <c r="I16" s="12" t="s">
        <v>67</v>
      </c>
      <c r="J16" s="12">
        <f>1530+(760*11)</f>
        <v>9890</v>
      </c>
      <c r="K16" s="12">
        <v>1</v>
      </c>
      <c r="L16" s="12">
        <f t="shared" si="1"/>
        <v>9890</v>
      </c>
      <c r="M16" s="12">
        <v>9890</v>
      </c>
      <c r="N16" s="12">
        <v>980</v>
      </c>
    </row>
    <row r="17" spans="2:14" ht="13.5">
      <c r="B17" s="12" t="s">
        <v>19</v>
      </c>
      <c r="C17" s="12">
        <f>5900+(1200*5)+(830*6)</f>
        <v>16880</v>
      </c>
      <c r="D17" s="12">
        <v>1</v>
      </c>
      <c r="E17" s="12">
        <f t="shared" si="0"/>
        <v>16880</v>
      </c>
      <c r="F17" s="12">
        <v>16880</v>
      </c>
      <c r="G17" s="12">
        <v>1680</v>
      </c>
      <c r="H17" s="10"/>
      <c r="I17" s="12" t="s">
        <v>68</v>
      </c>
      <c r="J17" s="12">
        <f>1530+(760*12)</f>
        <v>10650</v>
      </c>
      <c r="K17" s="12">
        <v>1</v>
      </c>
      <c r="L17" s="12">
        <f t="shared" si="1"/>
        <v>10650</v>
      </c>
      <c r="M17" s="12">
        <v>10650</v>
      </c>
      <c r="N17" s="12">
        <v>1060</v>
      </c>
    </row>
    <row r="18" spans="2:14" ht="13.5">
      <c r="B18" s="12" t="s">
        <v>20</v>
      </c>
      <c r="C18" s="12">
        <f>5900+(1200*5)+(830*7)</f>
        <v>17710</v>
      </c>
      <c r="D18" s="12">
        <v>1</v>
      </c>
      <c r="E18" s="12">
        <f t="shared" si="0"/>
        <v>17710</v>
      </c>
      <c r="F18" s="12">
        <v>17710</v>
      </c>
      <c r="G18" s="12">
        <v>1770</v>
      </c>
      <c r="H18" s="10"/>
      <c r="I18" s="12" t="s">
        <v>69</v>
      </c>
      <c r="J18" s="12">
        <f>1530+(760*13)</f>
        <v>11410</v>
      </c>
      <c r="K18" s="12">
        <v>1</v>
      </c>
      <c r="L18" s="12">
        <f t="shared" si="1"/>
        <v>11410</v>
      </c>
      <c r="M18" s="12">
        <v>11410</v>
      </c>
      <c r="N18" s="12">
        <v>1140</v>
      </c>
    </row>
    <row r="19" spans="2:14" ht="13.5">
      <c r="B19" s="12" t="s">
        <v>21</v>
      </c>
      <c r="C19" s="12">
        <f>5900+(1200*5)+(830*8)</f>
        <v>18540</v>
      </c>
      <c r="D19" s="12">
        <v>1</v>
      </c>
      <c r="E19" s="12">
        <f t="shared" si="0"/>
        <v>18540</v>
      </c>
      <c r="F19" s="12">
        <v>18540</v>
      </c>
      <c r="G19" s="12">
        <v>1850</v>
      </c>
      <c r="H19" s="10"/>
      <c r="I19" s="12" t="s">
        <v>70</v>
      </c>
      <c r="J19" s="12">
        <f>1530+(760*14)</f>
        <v>12170</v>
      </c>
      <c r="K19" s="12">
        <v>1</v>
      </c>
      <c r="L19" s="12">
        <f t="shared" si="1"/>
        <v>12170</v>
      </c>
      <c r="M19" s="12">
        <v>12170</v>
      </c>
      <c r="N19" s="12">
        <v>1210</v>
      </c>
    </row>
    <row r="20" spans="2:14" ht="13.5">
      <c r="B20" s="12" t="s">
        <v>22</v>
      </c>
      <c r="C20" s="12">
        <f>5900+(1200*5)+(830*9)</f>
        <v>19370</v>
      </c>
      <c r="D20" s="12">
        <v>1</v>
      </c>
      <c r="E20" s="12">
        <f t="shared" si="0"/>
        <v>19370</v>
      </c>
      <c r="F20" s="12">
        <v>19370</v>
      </c>
      <c r="G20" s="12">
        <v>1930</v>
      </c>
      <c r="H20" s="10"/>
      <c r="I20" s="12" t="s">
        <v>71</v>
      </c>
      <c r="J20" s="12">
        <f>1530+(760*15)</f>
        <v>12930</v>
      </c>
      <c r="K20" s="12">
        <v>1</v>
      </c>
      <c r="L20" s="12">
        <f t="shared" si="1"/>
        <v>12930</v>
      </c>
      <c r="M20" s="12">
        <v>12930</v>
      </c>
      <c r="N20" s="12">
        <v>1290</v>
      </c>
    </row>
    <row r="21" spans="2:14" ht="13.5">
      <c r="B21" s="12" t="s">
        <v>23</v>
      </c>
      <c r="C21" s="12">
        <f>5900+(1200*5)+(830*10)</f>
        <v>20200</v>
      </c>
      <c r="D21" s="12">
        <v>1</v>
      </c>
      <c r="E21" s="12">
        <f t="shared" si="0"/>
        <v>20200</v>
      </c>
      <c r="F21" s="12">
        <v>20200</v>
      </c>
      <c r="G21" s="12">
        <v>2020</v>
      </c>
      <c r="H21" s="10"/>
      <c r="I21" s="12" t="s">
        <v>72</v>
      </c>
      <c r="J21" s="12">
        <f>1530+(760*16)</f>
        <v>13690</v>
      </c>
      <c r="K21" s="12">
        <v>1</v>
      </c>
      <c r="L21" s="12">
        <f t="shared" si="1"/>
        <v>13690</v>
      </c>
      <c r="M21" s="12">
        <v>13690</v>
      </c>
      <c r="N21" s="12">
        <v>1360</v>
      </c>
    </row>
    <row r="22" spans="2:14" ht="13.5">
      <c r="B22" s="12" t="s">
        <v>24</v>
      </c>
      <c r="C22" s="12">
        <f>5900+(1200*5)+(830*11)</f>
        <v>21030</v>
      </c>
      <c r="D22" s="12">
        <v>1</v>
      </c>
      <c r="E22" s="12">
        <f t="shared" si="0"/>
        <v>21030</v>
      </c>
      <c r="F22" s="12">
        <v>21030</v>
      </c>
      <c r="G22" s="12">
        <v>2100</v>
      </c>
      <c r="H22" s="10"/>
      <c r="I22" s="12" t="s">
        <v>73</v>
      </c>
      <c r="J22" s="12">
        <f>1530+(760*17)</f>
        <v>14450</v>
      </c>
      <c r="K22" s="12">
        <v>1</v>
      </c>
      <c r="L22" s="12">
        <f t="shared" si="1"/>
        <v>14450</v>
      </c>
      <c r="M22" s="12">
        <v>14450</v>
      </c>
      <c r="N22" s="12">
        <v>1440</v>
      </c>
    </row>
    <row r="23" spans="2:14" ht="13.5">
      <c r="B23" s="12" t="s">
        <v>25</v>
      </c>
      <c r="C23" s="12">
        <f>5900+(1200*5)+(830*12)</f>
        <v>21860</v>
      </c>
      <c r="D23" s="12">
        <v>1</v>
      </c>
      <c r="E23" s="12">
        <f t="shared" si="0"/>
        <v>21860</v>
      </c>
      <c r="F23" s="12">
        <v>21860</v>
      </c>
      <c r="G23" s="12">
        <v>2180</v>
      </c>
      <c r="H23" s="10"/>
      <c r="I23" s="12" t="s">
        <v>74</v>
      </c>
      <c r="J23" s="12">
        <f>1530+(760*18)</f>
        <v>15210</v>
      </c>
      <c r="K23" s="12">
        <v>1</v>
      </c>
      <c r="L23" s="12">
        <f t="shared" si="1"/>
        <v>15210</v>
      </c>
      <c r="M23" s="12">
        <v>15210</v>
      </c>
      <c r="N23" s="12">
        <v>1520</v>
      </c>
    </row>
    <row r="24" spans="2:14" ht="13.5">
      <c r="B24" s="1" t="s">
        <v>26</v>
      </c>
      <c r="C24" s="1">
        <v>2340</v>
      </c>
      <c r="D24" s="1">
        <v>1.25</v>
      </c>
      <c r="E24" s="1">
        <f>C24*D24</f>
        <v>2925</v>
      </c>
      <c r="F24" s="1">
        <v>2920</v>
      </c>
      <c r="G24" s="1">
        <v>290</v>
      </c>
      <c r="H24" s="10"/>
      <c r="I24" s="3" t="s">
        <v>75</v>
      </c>
      <c r="J24" s="3">
        <v>810</v>
      </c>
      <c r="K24" s="3">
        <v>1.25</v>
      </c>
      <c r="L24" s="3">
        <f>J24*K24</f>
        <v>1012.5</v>
      </c>
      <c r="M24" s="3">
        <v>1010</v>
      </c>
      <c r="N24" s="3">
        <v>100</v>
      </c>
    </row>
    <row r="25" spans="2:14" ht="13.5">
      <c r="B25" s="1" t="s">
        <v>27</v>
      </c>
      <c r="C25" s="1">
        <v>4070</v>
      </c>
      <c r="D25" s="1">
        <v>1.25</v>
      </c>
      <c r="E25" s="1">
        <f aca="true" t="shared" si="2" ref="E25:E35">C25*D25</f>
        <v>5087.5</v>
      </c>
      <c r="F25" s="1">
        <v>5080</v>
      </c>
      <c r="G25" s="1">
        <v>500</v>
      </c>
      <c r="H25" s="10"/>
      <c r="I25" s="3" t="s">
        <v>76</v>
      </c>
      <c r="J25" s="3">
        <v>1530</v>
      </c>
      <c r="K25" s="3">
        <v>1.25</v>
      </c>
      <c r="L25" s="3">
        <f aca="true" t="shared" si="3" ref="L25:L35">J25*K25</f>
        <v>1912.5</v>
      </c>
      <c r="M25" s="3">
        <v>1910</v>
      </c>
      <c r="N25" s="3">
        <v>190</v>
      </c>
    </row>
    <row r="26" spans="2:14" ht="13.5">
      <c r="B26" s="1" t="s">
        <v>28</v>
      </c>
      <c r="C26" s="1">
        <v>5900</v>
      </c>
      <c r="D26" s="1">
        <v>1.25</v>
      </c>
      <c r="E26" s="1">
        <f t="shared" si="2"/>
        <v>7375</v>
      </c>
      <c r="F26" s="1">
        <v>7370</v>
      </c>
      <c r="G26" s="1">
        <v>730</v>
      </c>
      <c r="H26" s="10"/>
      <c r="I26" s="3" t="s">
        <v>77</v>
      </c>
      <c r="J26" s="3">
        <f>1530+760</f>
        <v>2290</v>
      </c>
      <c r="K26" s="3">
        <v>1.25</v>
      </c>
      <c r="L26" s="3">
        <f t="shared" si="3"/>
        <v>2862.5</v>
      </c>
      <c r="M26" s="3">
        <v>2860</v>
      </c>
      <c r="N26" s="3">
        <v>280</v>
      </c>
    </row>
    <row r="27" spans="2:14" ht="13.5">
      <c r="B27" s="1" t="s">
        <v>29</v>
      </c>
      <c r="C27" s="1">
        <f>5900+1200</f>
        <v>7100</v>
      </c>
      <c r="D27" s="1">
        <v>1.25</v>
      </c>
      <c r="E27" s="1">
        <f t="shared" si="2"/>
        <v>8875</v>
      </c>
      <c r="F27" s="1">
        <v>8870</v>
      </c>
      <c r="G27" s="1">
        <v>880</v>
      </c>
      <c r="H27" s="10"/>
      <c r="I27" s="3" t="s">
        <v>78</v>
      </c>
      <c r="J27" s="3">
        <f>1530+(760*2)</f>
        <v>3050</v>
      </c>
      <c r="K27" s="3">
        <v>1.25</v>
      </c>
      <c r="L27" s="3">
        <f t="shared" si="3"/>
        <v>3812.5</v>
      </c>
      <c r="M27" s="3">
        <v>3810</v>
      </c>
      <c r="N27" s="3">
        <v>380</v>
      </c>
    </row>
    <row r="28" spans="2:14" ht="13.5">
      <c r="B28" s="1" t="s">
        <v>30</v>
      </c>
      <c r="C28" s="1">
        <f>5900+(1200*2)</f>
        <v>8300</v>
      </c>
      <c r="D28" s="1">
        <v>1.25</v>
      </c>
      <c r="E28" s="1">
        <f t="shared" si="2"/>
        <v>10375</v>
      </c>
      <c r="F28" s="1">
        <v>10370</v>
      </c>
      <c r="G28" s="1">
        <v>1030</v>
      </c>
      <c r="H28" s="10"/>
      <c r="I28" s="3" t="s">
        <v>79</v>
      </c>
      <c r="J28" s="3">
        <f>1530+(760*3)</f>
        <v>3810</v>
      </c>
      <c r="K28" s="3">
        <v>1.25</v>
      </c>
      <c r="L28" s="3">
        <f t="shared" si="3"/>
        <v>4762.5</v>
      </c>
      <c r="M28" s="3">
        <v>4760</v>
      </c>
      <c r="N28" s="3">
        <v>470</v>
      </c>
    </row>
    <row r="29" spans="2:14" ht="13.5">
      <c r="B29" s="1" t="s">
        <v>31</v>
      </c>
      <c r="C29" s="1">
        <f>5900+(1200*3)</f>
        <v>9500</v>
      </c>
      <c r="D29" s="1">
        <v>1.25</v>
      </c>
      <c r="E29" s="1">
        <f t="shared" si="2"/>
        <v>11875</v>
      </c>
      <c r="F29" s="1">
        <v>11870</v>
      </c>
      <c r="G29" s="1">
        <v>1180</v>
      </c>
      <c r="H29" s="10"/>
      <c r="I29" s="3" t="s">
        <v>80</v>
      </c>
      <c r="J29" s="3">
        <f>1530+(760*4)</f>
        <v>4570</v>
      </c>
      <c r="K29" s="3">
        <v>1.25</v>
      </c>
      <c r="L29" s="3">
        <f t="shared" si="3"/>
        <v>5712.5</v>
      </c>
      <c r="M29" s="3">
        <v>5710</v>
      </c>
      <c r="N29" s="3">
        <v>570</v>
      </c>
    </row>
    <row r="30" spans="2:14" ht="13.5">
      <c r="B30" s="1" t="s">
        <v>32</v>
      </c>
      <c r="C30" s="1">
        <f>5900+(1200*4)</f>
        <v>10700</v>
      </c>
      <c r="D30" s="1">
        <v>1.25</v>
      </c>
      <c r="E30" s="1">
        <f t="shared" si="2"/>
        <v>13375</v>
      </c>
      <c r="F30" s="1">
        <v>13370</v>
      </c>
      <c r="G30" s="1">
        <v>1330</v>
      </c>
      <c r="H30" s="10"/>
      <c r="I30" s="3" t="s">
        <v>81</v>
      </c>
      <c r="J30" s="3">
        <f>1530+(760*5)</f>
        <v>5330</v>
      </c>
      <c r="K30" s="3">
        <v>1.25</v>
      </c>
      <c r="L30" s="3">
        <f t="shared" si="3"/>
        <v>6662.5</v>
      </c>
      <c r="M30" s="3">
        <v>6660</v>
      </c>
      <c r="N30" s="3">
        <v>660</v>
      </c>
    </row>
    <row r="31" spans="2:14" ht="13.5">
      <c r="B31" s="1" t="s">
        <v>33</v>
      </c>
      <c r="C31" s="1">
        <f>5900+(1200*5)</f>
        <v>11900</v>
      </c>
      <c r="D31" s="1">
        <v>1.25</v>
      </c>
      <c r="E31" s="1">
        <f t="shared" si="2"/>
        <v>14875</v>
      </c>
      <c r="F31" s="1">
        <v>14870</v>
      </c>
      <c r="G31" s="1">
        <v>1480</v>
      </c>
      <c r="H31" s="10"/>
      <c r="I31" s="3" t="s">
        <v>82</v>
      </c>
      <c r="J31" s="3">
        <f>1530+(760*6)</f>
        <v>6090</v>
      </c>
      <c r="K31" s="3">
        <v>1.25</v>
      </c>
      <c r="L31" s="3">
        <f t="shared" si="3"/>
        <v>7612.5</v>
      </c>
      <c r="M31" s="3">
        <v>7610</v>
      </c>
      <c r="N31" s="3">
        <v>760</v>
      </c>
    </row>
    <row r="32" spans="2:14" ht="13.5">
      <c r="B32" s="1" t="s">
        <v>34</v>
      </c>
      <c r="C32" s="1">
        <f>5900+(1200*5)+830</f>
        <v>12730</v>
      </c>
      <c r="D32" s="1">
        <v>1.25</v>
      </c>
      <c r="E32" s="1">
        <f t="shared" si="2"/>
        <v>15912.5</v>
      </c>
      <c r="F32" s="1">
        <v>15910</v>
      </c>
      <c r="G32" s="1">
        <v>1590</v>
      </c>
      <c r="H32" s="10"/>
      <c r="I32" s="3" t="s">
        <v>83</v>
      </c>
      <c r="J32" s="3">
        <f>1530+(760*7)</f>
        <v>6850</v>
      </c>
      <c r="K32" s="3">
        <v>1.25</v>
      </c>
      <c r="L32" s="3">
        <f t="shared" si="3"/>
        <v>8562.5</v>
      </c>
      <c r="M32" s="3">
        <v>8560</v>
      </c>
      <c r="N32" s="3">
        <v>850</v>
      </c>
    </row>
    <row r="33" spans="2:14" ht="13.5">
      <c r="B33" s="1" t="s">
        <v>35</v>
      </c>
      <c r="C33" s="1">
        <f>5900+(1200*5)+(830*2)</f>
        <v>13560</v>
      </c>
      <c r="D33" s="1">
        <v>1.25</v>
      </c>
      <c r="E33" s="1">
        <f t="shared" si="2"/>
        <v>16950</v>
      </c>
      <c r="F33" s="1">
        <v>16950</v>
      </c>
      <c r="G33" s="1">
        <v>1690</v>
      </c>
      <c r="H33" s="10"/>
      <c r="I33" s="3" t="s">
        <v>84</v>
      </c>
      <c r="J33" s="3">
        <f>1530+(760*8)</f>
        <v>7610</v>
      </c>
      <c r="K33" s="3">
        <v>1.25</v>
      </c>
      <c r="L33" s="3">
        <f t="shared" si="3"/>
        <v>9512.5</v>
      </c>
      <c r="M33" s="3">
        <v>9510</v>
      </c>
      <c r="N33" s="3">
        <v>950</v>
      </c>
    </row>
    <row r="34" spans="2:14" ht="13.5">
      <c r="B34" s="1" t="s">
        <v>36</v>
      </c>
      <c r="C34" s="1">
        <f>5900+(1200*5)+(830*3)</f>
        <v>14390</v>
      </c>
      <c r="D34" s="1">
        <v>1.25</v>
      </c>
      <c r="E34" s="1">
        <f t="shared" si="2"/>
        <v>17987.5</v>
      </c>
      <c r="F34" s="1">
        <v>17980</v>
      </c>
      <c r="G34" s="1">
        <v>1790</v>
      </c>
      <c r="H34" s="10"/>
      <c r="I34" s="3" t="s">
        <v>85</v>
      </c>
      <c r="J34" s="3">
        <f>1530+(760*9)</f>
        <v>8370</v>
      </c>
      <c r="K34" s="3">
        <v>1.25</v>
      </c>
      <c r="L34" s="3">
        <f t="shared" si="3"/>
        <v>10462.5</v>
      </c>
      <c r="M34" s="3">
        <v>10460</v>
      </c>
      <c r="N34" s="3">
        <v>1040</v>
      </c>
    </row>
    <row r="35" spans="2:14" ht="13.5">
      <c r="B35" s="1" t="s">
        <v>37</v>
      </c>
      <c r="C35" s="1">
        <f>5900+(1200*5)+(830*4)</f>
        <v>15220</v>
      </c>
      <c r="D35" s="1">
        <v>1.25</v>
      </c>
      <c r="E35" s="1">
        <f t="shared" si="2"/>
        <v>19025</v>
      </c>
      <c r="F35" s="1">
        <v>19020</v>
      </c>
      <c r="G35" s="1">
        <v>1900</v>
      </c>
      <c r="H35" s="10"/>
      <c r="I35" s="3" t="s">
        <v>86</v>
      </c>
      <c r="J35" s="3">
        <f>1530+(760*10)</f>
        <v>9130</v>
      </c>
      <c r="K35" s="3">
        <v>1.25</v>
      </c>
      <c r="L35" s="3">
        <f t="shared" si="3"/>
        <v>11412.5</v>
      </c>
      <c r="M35" s="3">
        <v>11410</v>
      </c>
      <c r="N35" s="3">
        <v>1140</v>
      </c>
    </row>
    <row r="36" spans="2:14" ht="13.5">
      <c r="B36" s="13" t="s">
        <v>38</v>
      </c>
      <c r="C36" s="13">
        <v>2340</v>
      </c>
      <c r="D36" s="13">
        <v>1.5</v>
      </c>
      <c r="E36" s="13">
        <f>C36*D36</f>
        <v>3510</v>
      </c>
      <c r="F36" s="13">
        <v>3510</v>
      </c>
      <c r="G36" s="13">
        <v>350</v>
      </c>
      <c r="H36" s="10"/>
      <c r="I36" s="13" t="s">
        <v>87</v>
      </c>
      <c r="J36" s="13">
        <v>810</v>
      </c>
      <c r="K36" s="13">
        <v>1.5</v>
      </c>
      <c r="L36" s="13">
        <f>J36*K36</f>
        <v>1215</v>
      </c>
      <c r="M36" s="13">
        <v>1210</v>
      </c>
      <c r="N36" s="13">
        <v>120</v>
      </c>
    </row>
    <row r="37" spans="2:14" ht="13.5">
      <c r="B37" s="13" t="s">
        <v>39</v>
      </c>
      <c r="C37" s="13">
        <v>4070</v>
      </c>
      <c r="D37" s="13">
        <v>1.5</v>
      </c>
      <c r="E37" s="13">
        <f aca="true" t="shared" si="4" ref="E37:E51">C37*D37</f>
        <v>6105</v>
      </c>
      <c r="F37" s="13">
        <v>6100</v>
      </c>
      <c r="G37" s="13">
        <v>610</v>
      </c>
      <c r="H37" s="10"/>
      <c r="I37" s="13" t="s">
        <v>88</v>
      </c>
      <c r="J37" s="13">
        <v>1530</v>
      </c>
      <c r="K37" s="13">
        <v>1.5</v>
      </c>
      <c r="L37" s="13">
        <f aca="true" t="shared" si="5" ref="L37:L51">J37*K37</f>
        <v>2295</v>
      </c>
      <c r="M37" s="13">
        <v>2290</v>
      </c>
      <c r="N37" s="13">
        <v>220</v>
      </c>
    </row>
    <row r="38" spans="2:14" ht="13.5">
      <c r="B38" s="13" t="s">
        <v>40</v>
      </c>
      <c r="C38" s="13">
        <v>5900</v>
      </c>
      <c r="D38" s="13">
        <v>1.5</v>
      </c>
      <c r="E38" s="13">
        <f t="shared" si="4"/>
        <v>8850</v>
      </c>
      <c r="F38" s="13">
        <v>8850</v>
      </c>
      <c r="G38" s="13">
        <v>880</v>
      </c>
      <c r="H38" s="10"/>
      <c r="I38" s="13" t="s">
        <v>89</v>
      </c>
      <c r="J38" s="13">
        <f>1530+760</f>
        <v>2290</v>
      </c>
      <c r="K38" s="13">
        <v>1.5</v>
      </c>
      <c r="L38" s="13">
        <f t="shared" si="5"/>
        <v>3435</v>
      </c>
      <c r="M38" s="13">
        <v>3430</v>
      </c>
      <c r="N38" s="13">
        <v>340</v>
      </c>
    </row>
    <row r="39" spans="2:14" ht="13.5">
      <c r="B39" s="13" t="s">
        <v>41</v>
      </c>
      <c r="C39" s="13">
        <f>5900+1200</f>
        <v>7100</v>
      </c>
      <c r="D39" s="13">
        <v>1.5</v>
      </c>
      <c r="E39" s="13">
        <f t="shared" si="4"/>
        <v>10650</v>
      </c>
      <c r="F39" s="13">
        <v>10650</v>
      </c>
      <c r="G39" s="13">
        <v>1060</v>
      </c>
      <c r="H39" s="10"/>
      <c r="I39" s="13" t="s">
        <v>90</v>
      </c>
      <c r="J39" s="13">
        <f>1530+(760*2)</f>
        <v>3050</v>
      </c>
      <c r="K39" s="13">
        <v>1.5</v>
      </c>
      <c r="L39" s="13">
        <f t="shared" si="5"/>
        <v>4575</v>
      </c>
      <c r="M39" s="13">
        <v>4570</v>
      </c>
      <c r="N39" s="13">
        <v>450</v>
      </c>
    </row>
    <row r="40" spans="2:14" ht="13.5">
      <c r="B40" s="13" t="s">
        <v>42</v>
      </c>
      <c r="C40" s="13">
        <f>5900+(1200*2)</f>
        <v>8300</v>
      </c>
      <c r="D40" s="13">
        <v>1.5</v>
      </c>
      <c r="E40" s="13">
        <f t="shared" si="4"/>
        <v>12450</v>
      </c>
      <c r="F40" s="13">
        <v>12450</v>
      </c>
      <c r="G40" s="13">
        <v>1240</v>
      </c>
      <c r="H40" s="10"/>
      <c r="I40" s="13" t="s">
        <v>91</v>
      </c>
      <c r="J40" s="13">
        <f>1530+(760*3)</f>
        <v>3810</v>
      </c>
      <c r="K40" s="13">
        <v>1.5</v>
      </c>
      <c r="L40" s="13">
        <f t="shared" si="5"/>
        <v>5715</v>
      </c>
      <c r="M40" s="13">
        <v>5710</v>
      </c>
      <c r="N40" s="13">
        <v>570</v>
      </c>
    </row>
    <row r="41" spans="2:14" ht="13.5">
      <c r="B41" s="13" t="s">
        <v>43</v>
      </c>
      <c r="C41" s="13">
        <f>5900+(1200*3)</f>
        <v>9500</v>
      </c>
      <c r="D41" s="13">
        <v>1.5</v>
      </c>
      <c r="E41" s="13">
        <f t="shared" si="4"/>
        <v>14250</v>
      </c>
      <c r="F41" s="13">
        <v>14250</v>
      </c>
      <c r="G41" s="13">
        <v>1420</v>
      </c>
      <c r="H41" s="10"/>
      <c r="I41" s="13" t="s">
        <v>92</v>
      </c>
      <c r="J41" s="13">
        <f>1530+(760*4)</f>
        <v>4570</v>
      </c>
      <c r="K41" s="13">
        <v>1.5</v>
      </c>
      <c r="L41" s="13">
        <f t="shared" si="5"/>
        <v>6855</v>
      </c>
      <c r="M41" s="13">
        <v>6850</v>
      </c>
      <c r="N41" s="13">
        <v>680</v>
      </c>
    </row>
    <row r="42" spans="2:14" ht="13.5">
      <c r="B42" s="13" t="s">
        <v>44</v>
      </c>
      <c r="C42" s="13">
        <f>5900+(1200*4)</f>
        <v>10700</v>
      </c>
      <c r="D42" s="13">
        <v>1.5</v>
      </c>
      <c r="E42" s="13">
        <f t="shared" si="4"/>
        <v>16050</v>
      </c>
      <c r="F42" s="13">
        <v>16050</v>
      </c>
      <c r="G42" s="13">
        <v>1600</v>
      </c>
      <c r="H42" s="10"/>
      <c r="I42" s="13" t="s">
        <v>93</v>
      </c>
      <c r="J42" s="13">
        <f>1530+(760*5)</f>
        <v>5330</v>
      </c>
      <c r="K42" s="13">
        <v>1.5</v>
      </c>
      <c r="L42" s="13">
        <f t="shared" si="5"/>
        <v>7995</v>
      </c>
      <c r="M42" s="13">
        <v>7990</v>
      </c>
      <c r="N42" s="13">
        <v>790</v>
      </c>
    </row>
    <row r="43" spans="2:14" ht="13.5">
      <c r="B43" s="13" t="s">
        <v>45</v>
      </c>
      <c r="C43" s="13">
        <f>5900+(1200*5)</f>
        <v>11900</v>
      </c>
      <c r="D43" s="13">
        <v>1.5</v>
      </c>
      <c r="E43" s="13">
        <f t="shared" si="4"/>
        <v>17850</v>
      </c>
      <c r="F43" s="13">
        <v>17850</v>
      </c>
      <c r="G43" s="13">
        <v>1780</v>
      </c>
      <c r="H43" s="10"/>
      <c r="I43" s="13" t="s">
        <v>94</v>
      </c>
      <c r="J43" s="13">
        <f>1530+(760*6)</f>
        <v>6090</v>
      </c>
      <c r="K43" s="13">
        <v>1.5</v>
      </c>
      <c r="L43" s="13">
        <f t="shared" si="5"/>
        <v>9135</v>
      </c>
      <c r="M43" s="13">
        <v>9130</v>
      </c>
      <c r="N43" s="13">
        <v>910</v>
      </c>
    </row>
    <row r="44" spans="2:14" ht="13.5">
      <c r="B44" s="13" t="s">
        <v>46</v>
      </c>
      <c r="C44" s="13">
        <f>5900+(1200*5)+830</f>
        <v>12730</v>
      </c>
      <c r="D44" s="13">
        <v>1.5</v>
      </c>
      <c r="E44" s="13">
        <f t="shared" si="4"/>
        <v>19095</v>
      </c>
      <c r="F44" s="13">
        <v>19090</v>
      </c>
      <c r="G44" s="13">
        <v>1900</v>
      </c>
      <c r="H44" s="10"/>
      <c r="I44" s="13" t="s">
        <v>95</v>
      </c>
      <c r="J44" s="13">
        <f>1530+(760*7)</f>
        <v>6850</v>
      </c>
      <c r="K44" s="13">
        <v>1.5</v>
      </c>
      <c r="L44" s="13">
        <f t="shared" si="5"/>
        <v>10275</v>
      </c>
      <c r="M44" s="13">
        <v>10270</v>
      </c>
      <c r="N44" s="13">
        <v>1020</v>
      </c>
    </row>
    <row r="45" spans="2:14" ht="13.5">
      <c r="B45" s="13" t="s">
        <v>47</v>
      </c>
      <c r="C45" s="13">
        <f>5900+(1200*5)+(830*2)</f>
        <v>13560</v>
      </c>
      <c r="D45" s="13">
        <v>1.5</v>
      </c>
      <c r="E45" s="13">
        <f t="shared" si="4"/>
        <v>20340</v>
      </c>
      <c r="F45" s="13">
        <v>20340</v>
      </c>
      <c r="G45" s="13">
        <v>2030</v>
      </c>
      <c r="H45" s="10"/>
      <c r="I45" s="13" t="s">
        <v>96</v>
      </c>
      <c r="J45" s="13">
        <f>1530+(760*8)</f>
        <v>7610</v>
      </c>
      <c r="K45" s="13">
        <v>1.5</v>
      </c>
      <c r="L45" s="13">
        <f t="shared" si="5"/>
        <v>11415</v>
      </c>
      <c r="M45" s="13">
        <v>11410</v>
      </c>
      <c r="N45" s="13">
        <v>1140</v>
      </c>
    </row>
    <row r="46" spans="2:14" ht="13.5">
      <c r="B46" s="13" t="s">
        <v>48</v>
      </c>
      <c r="C46" s="13">
        <f>5900+(1200*5)+(830*3)</f>
        <v>14390</v>
      </c>
      <c r="D46" s="13">
        <v>1.5</v>
      </c>
      <c r="E46" s="13">
        <f t="shared" si="4"/>
        <v>21585</v>
      </c>
      <c r="F46" s="13">
        <v>21580</v>
      </c>
      <c r="G46" s="13">
        <v>2150</v>
      </c>
      <c r="H46" s="10"/>
      <c r="I46" s="13" t="s">
        <v>97</v>
      </c>
      <c r="J46" s="13">
        <f>1530+(760*9)</f>
        <v>8370</v>
      </c>
      <c r="K46" s="13">
        <v>1.5</v>
      </c>
      <c r="L46" s="13">
        <f t="shared" si="5"/>
        <v>12555</v>
      </c>
      <c r="M46" s="13">
        <v>12550</v>
      </c>
      <c r="N46" s="13">
        <v>1250</v>
      </c>
    </row>
    <row r="47" spans="2:14" ht="13.5">
      <c r="B47" s="13" t="s">
        <v>49</v>
      </c>
      <c r="C47" s="13">
        <f>5900+(1200*5)+(830*4)</f>
        <v>15220</v>
      </c>
      <c r="D47" s="13">
        <v>1.5</v>
      </c>
      <c r="E47" s="13">
        <f t="shared" si="4"/>
        <v>22830</v>
      </c>
      <c r="F47" s="13">
        <v>22830</v>
      </c>
      <c r="G47" s="13">
        <v>2280</v>
      </c>
      <c r="H47" s="10"/>
      <c r="I47" s="13" t="s">
        <v>98</v>
      </c>
      <c r="J47" s="13">
        <f>1530+(760*10)</f>
        <v>9130</v>
      </c>
      <c r="K47" s="13">
        <v>1.5</v>
      </c>
      <c r="L47" s="13">
        <f t="shared" si="5"/>
        <v>13695</v>
      </c>
      <c r="M47" s="13">
        <v>13690</v>
      </c>
      <c r="N47" s="13">
        <v>1360</v>
      </c>
    </row>
    <row r="48" spans="2:14" ht="13.5">
      <c r="B48" s="13" t="s">
        <v>50</v>
      </c>
      <c r="C48" s="13">
        <f>5900+(1200*5)+(830*5)</f>
        <v>16050</v>
      </c>
      <c r="D48" s="13">
        <v>1.5</v>
      </c>
      <c r="E48" s="13">
        <f t="shared" si="4"/>
        <v>24075</v>
      </c>
      <c r="F48" s="13">
        <v>24070</v>
      </c>
      <c r="G48" s="13">
        <v>2400</v>
      </c>
      <c r="H48" s="10"/>
      <c r="I48" s="13" t="s">
        <v>99</v>
      </c>
      <c r="J48" s="13">
        <f>1530+(760*11)</f>
        <v>9890</v>
      </c>
      <c r="K48" s="13">
        <v>1.5</v>
      </c>
      <c r="L48" s="13">
        <f t="shared" si="5"/>
        <v>14835</v>
      </c>
      <c r="M48" s="13">
        <v>14830</v>
      </c>
      <c r="N48" s="13">
        <v>1480</v>
      </c>
    </row>
    <row r="49" spans="2:14" ht="13.5">
      <c r="B49" s="13" t="s">
        <v>51</v>
      </c>
      <c r="C49" s="13">
        <f>5900+(1200*5)+(830*6)</f>
        <v>16880</v>
      </c>
      <c r="D49" s="13">
        <v>1.5</v>
      </c>
      <c r="E49" s="13">
        <f t="shared" si="4"/>
        <v>25320</v>
      </c>
      <c r="F49" s="13">
        <v>25320</v>
      </c>
      <c r="G49" s="13">
        <v>2530</v>
      </c>
      <c r="H49" s="10"/>
      <c r="I49" s="13" t="s">
        <v>100</v>
      </c>
      <c r="J49" s="13">
        <f>1530+(760*12)</f>
        <v>10650</v>
      </c>
      <c r="K49" s="13">
        <v>1.5</v>
      </c>
      <c r="L49" s="13">
        <f t="shared" si="5"/>
        <v>15975</v>
      </c>
      <c r="M49" s="13">
        <v>15970</v>
      </c>
      <c r="N49" s="13">
        <v>1590</v>
      </c>
    </row>
    <row r="50" spans="2:14" ht="13.5">
      <c r="B50" s="13" t="s">
        <v>52</v>
      </c>
      <c r="C50" s="13">
        <f>5900+(1200*5)+(830*7)</f>
        <v>17710</v>
      </c>
      <c r="D50" s="13">
        <v>1.5</v>
      </c>
      <c r="E50" s="13">
        <f t="shared" si="4"/>
        <v>26565</v>
      </c>
      <c r="F50" s="13">
        <v>26560</v>
      </c>
      <c r="G50" s="13">
        <v>2650</v>
      </c>
      <c r="H50" s="10"/>
      <c r="I50" s="13" t="s">
        <v>101</v>
      </c>
      <c r="J50" s="13">
        <f>1530+(760*13)</f>
        <v>11410</v>
      </c>
      <c r="K50" s="13">
        <v>1.5</v>
      </c>
      <c r="L50" s="13">
        <f t="shared" si="5"/>
        <v>17115</v>
      </c>
      <c r="M50" s="13">
        <v>17110</v>
      </c>
      <c r="N50" s="13">
        <v>1710</v>
      </c>
    </row>
    <row r="51" spans="2:14" ht="13.5">
      <c r="B51" s="13" t="s">
        <v>53</v>
      </c>
      <c r="C51" s="13">
        <f>5900+(1200*5)+(830*8)</f>
        <v>18540</v>
      </c>
      <c r="D51" s="13">
        <v>1.5</v>
      </c>
      <c r="E51" s="13">
        <f t="shared" si="4"/>
        <v>27810</v>
      </c>
      <c r="F51" s="13">
        <v>27810</v>
      </c>
      <c r="G51" s="13">
        <v>2780</v>
      </c>
      <c r="H51" s="10"/>
      <c r="I51" s="13" t="s">
        <v>102</v>
      </c>
      <c r="J51" s="13">
        <f>1530+(760*14)</f>
        <v>12170</v>
      </c>
      <c r="K51" s="13">
        <v>1.5</v>
      </c>
      <c r="L51" s="13">
        <f t="shared" si="5"/>
        <v>18255</v>
      </c>
      <c r="M51" s="13">
        <v>18250</v>
      </c>
      <c r="N51" s="13">
        <v>1820</v>
      </c>
    </row>
    <row r="52" ht="13.5">
      <c r="B52" s="2" t="s">
        <v>105</v>
      </c>
    </row>
  </sheetData>
  <sheetProtection/>
  <printOptions/>
  <pageMargins left="0.75" right="0.75" top="1" bottom="1" header="0.512" footer="0.51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23.875" style="0" customWidth="1"/>
    <col min="6" max="6" width="13.125" style="0" customWidth="1"/>
    <col min="9" max="9" width="16.50390625" style="0" customWidth="1"/>
    <col min="10" max="10" width="10.25390625" style="0" customWidth="1"/>
    <col min="12" max="12" width="20.875" style="0" customWidth="1"/>
    <col min="13" max="13" width="7.375" style="0" customWidth="1"/>
    <col min="14" max="14" width="7.875" style="0" customWidth="1"/>
    <col min="15" max="15" width="7.375" style="0" customWidth="1"/>
    <col min="16" max="16" width="12.375" style="0" customWidth="1"/>
    <col min="17" max="17" width="9.50390625" style="0" bestFit="1" customWidth="1"/>
    <col min="18" max="18" width="6.625" style="0" customWidth="1"/>
    <col min="19" max="19" width="16.25390625" style="0" customWidth="1"/>
    <col min="20" max="20" width="9.75390625" style="0" customWidth="1"/>
  </cols>
  <sheetData>
    <row r="1" spans="1:2" ht="13.5">
      <c r="A1" s="1" t="s">
        <v>0</v>
      </c>
      <c r="B1" s="1"/>
    </row>
    <row r="2" spans="1:12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54</v>
      </c>
      <c r="L2" s="1"/>
    </row>
    <row r="3" spans="2:20" ht="13.5">
      <c r="B3" s="1" t="s">
        <v>3</v>
      </c>
      <c r="C3" s="1" t="s">
        <v>106</v>
      </c>
      <c r="D3" s="1" t="s">
        <v>119</v>
      </c>
      <c r="E3" s="1" t="s">
        <v>121</v>
      </c>
      <c r="F3" s="1" t="s">
        <v>123</v>
      </c>
      <c r="G3" s="1" t="s">
        <v>119</v>
      </c>
      <c r="H3" s="1" t="s">
        <v>122</v>
      </c>
      <c r="I3" s="1" t="s">
        <v>324</v>
      </c>
      <c r="J3" s="1" t="s">
        <v>103</v>
      </c>
      <c r="K3" s="7"/>
      <c r="L3" s="1" t="s">
        <v>3</v>
      </c>
      <c r="M3" s="1" t="s">
        <v>106</v>
      </c>
      <c r="N3" s="1" t="s">
        <v>119</v>
      </c>
      <c r="O3" s="1" t="s">
        <v>121</v>
      </c>
      <c r="P3" s="1" t="s">
        <v>123</v>
      </c>
      <c r="Q3" s="1" t="s">
        <v>119</v>
      </c>
      <c r="R3" s="1" t="s">
        <v>122</v>
      </c>
      <c r="S3" s="1" t="s">
        <v>324</v>
      </c>
      <c r="T3" s="1" t="s">
        <v>103</v>
      </c>
    </row>
    <row r="4" spans="2:20" ht="13.5">
      <c r="B4" s="12" t="s">
        <v>104</v>
      </c>
      <c r="C4" s="12">
        <v>2340</v>
      </c>
      <c r="D4" s="12">
        <v>1.5</v>
      </c>
      <c r="E4" s="12">
        <f>C4*D4</f>
        <v>3510</v>
      </c>
      <c r="F4" s="12">
        <v>1730</v>
      </c>
      <c r="G4" s="12">
        <v>1.25</v>
      </c>
      <c r="H4" s="12">
        <f>F4*G4</f>
        <v>2162.5</v>
      </c>
      <c r="I4" s="12">
        <f>3510+2160</f>
        <v>5670</v>
      </c>
      <c r="J4" s="12">
        <v>560</v>
      </c>
      <c r="K4" s="8"/>
      <c r="L4" s="1" t="s">
        <v>264</v>
      </c>
      <c r="M4" s="1">
        <v>810</v>
      </c>
      <c r="N4" s="1">
        <v>1.5</v>
      </c>
      <c r="O4" s="1">
        <f>M4*N4</f>
        <v>1215</v>
      </c>
      <c r="P4" s="1">
        <f>1530-810</f>
        <v>720</v>
      </c>
      <c r="Q4" s="1">
        <v>1.25</v>
      </c>
      <c r="R4" s="1">
        <f>P4*Q4</f>
        <v>900</v>
      </c>
      <c r="S4" s="1">
        <f>1210+900</f>
        <v>2110</v>
      </c>
      <c r="T4" s="1">
        <v>210</v>
      </c>
    </row>
    <row r="5" spans="2:20" ht="13.5">
      <c r="B5" s="12" t="s">
        <v>107</v>
      </c>
      <c r="C5" s="12">
        <v>2340</v>
      </c>
      <c r="D5" s="12">
        <v>1.5</v>
      </c>
      <c r="E5" s="12">
        <f aca="true" t="shared" si="0" ref="E5:E31">C5*D5</f>
        <v>3510</v>
      </c>
      <c r="F5" s="12">
        <f>5900-2340</f>
        <v>3560</v>
      </c>
      <c r="G5" s="12">
        <v>1.25</v>
      </c>
      <c r="H5" s="12">
        <f aca="true" t="shared" si="1" ref="H5:H31">F5*G5</f>
        <v>4450</v>
      </c>
      <c r="I5" s="12">
        <f>3510+4450</f>
        <v>7960</v>
      </c>
      <c r="J5" s="12">
        <v>790</v>
      </c>
      <c r="K5" s="8"/>
      <c r="L5" s="6" t="s">
        <v>265</v>
      </c>
      <c r="M5" s="6" t="s">
        <v>266</v>
      </c>
      <c r="N5" s="6" t="s">
        <v>266</v>
      </c>
      <c r="O5" s="6" t="s">
        <v>266</v>
      </c>
      <c r="P5" s="6" t="s">
        <v>266</v>
      </c>
      <c r="Q5" s="6" t="s">
        <v>266</v>
      </c>
      <c r="R5" s="6" t="s">
        <v>266</v>
      </c>
      <c r="S5" s="6"/>
      <c r="T5" s="6"/>
    </row>
    <row r="6" spans="2:20" ht="13.5">
      <c r="B6" s="12" t="s">
        <v>109</v>
      </c>
      <c r="C6" s="12">
        <v>2340</v>
      </c>
      <c r="D6" s="12">
        <v>1.5</v>
      </c>
      <c r="E6" s="12">
        <f t="shared" si="0"/>
        <v>3510</v>
      </c>
      <c r="F6" s="12">
        <f>7100-2340</f>
        <v>4760</v>
      </c>
      <c r="G6" s="12">
        <v>1.25</v>
      </c>
      <c r="H6" s="12">
        <f t="shared" si="1"/>
        <v>5950</v>
      </c>
      <c r="I6" s="12">
        <f>3510+5950</f>
        <v>9460</v>
      </c>
      <c r="J6" s="12">
        <v>940</v>
      </c>
      <c r="K6" s="8"/>
      <c r="L6" s="4" t="s">
        <v>265</v>
      </c>
      <c r="M6" s="4" t="s">
        <v>266</v>
      </c>
      <c r="N6" s="4" t="s">
        <v>266</v>
      </c>
      <c r="O6" s="4" t="s">
        <v>266</v>
      </c>
      <c r="P6" s="4" t="s">
        <v>266</v>
      </c>
      <c r="Q6" s="4" t="s">
        <v>266</v>
      </c>
      <c r="R6" s="4" t="s">
        <v>266</v>
      </c>
      <c r="S6" s="4"/>
      <c r="T6" s="4"/>
    </row>
    <row r="7" spans="2:20" ht="13.5">
      <c r="B7" s="12" t="s">
        <v>108</v>
      </c>
      <c r="C7" s="12">
        <v>2340</v>
      </c>
      <c r="D7" s="12">
        <v>1.5</v>
      </c>
      <c r="E7" s="12">
        <f t="shared" si="0"/>
        <v>3510</v>
      </c>
      <c r="F7" s="12">
        <f>8300-2340</f>
        <v>5960</v>
      </c>
      <c r="G7" s="12">
        <v>1.25</v>
      </c>
      <c r="H7" s="12">
        <f t="shared" si="1"/>
        <v>7450</v>
      </c>
      <c r="I7" s="12">
        <f>3510+7450</f>
        <v>10960</v>
      </c>
      <c r="J7" s="12">
        <v>1090</v>
      </c>
      <c r="K7" s="8"/>
      <c r="L7" s="4"/>
      <c r="M7" s="4"/>
      <c r="N7" s="4"/>
      <c r="O7" s="4"/>
      <c r="P7" s="4"/>
      <c r="Q7" s="4"/>
      <c r="R7" s="4"/>
      <c r="S7" s="4"/>
      <c r="T7" s="4"/>
    </row>
    <row r="8" spans="2:20" ht="13.5">
      <c r="B8" s="1" t="s">
        <v>270</v>
      </c>
      <c r="C8" s="1">
        <v>2340</v>
      </c>
      <c r="D8" s="1">
        <v>1.5</v>
      </c>
      <c r="E8" s="1">
        <f t="shared" si="0"/>
        <v>3510</v>
      </c>
      <c r="F8" s="1">
        <f>9500-(2340+5960)</f>
        <v>1200</v>
      </c>
      <c r="G8" s="1">
        <v>1</v>
      </c>
      <c r="H8" s="1">
        <f t="shared" si="1"/>
        <v>1200</v>
      </c>
      <c r="I8" s="1">
        <f>10960+1200</f>
        <v>12160</v>
      </c>
      <c r="J8" s="1">
        <v>1210</v>
      </c>
      <c r="K8" s="8"/>
      <c r="L8" s="4"/>
      <c r="M8" s="4"/>
      <c r="N8" s="4"/>
      <c r="O8" s="4"/>
      <c r="P8" s="4"/>
      <c r="Q8" s="4"/>
      <c r="R8" s="4"/>
      <c r="S8" s="4"/>
      <c r="T8" s="4"/>
    </row>
    <row r="9" spans="2:20" ht="13.5">
      <c r="B9" s="1" t="s">
        <v>271</v>
      </c>
      <c r="C9" s="1">
        <v>2340</v>
      </c>
      <c r="D9" s="1">
        <v>1.5</v>
      </c>
      <c r="E9" s="1">
        <f>C9*D9</f>
        <v>3510</v>
      </c>
      <c r="F9" s="1">
        <f>10700-(2340+5960)</f>
        <v>2400</v>
      </c>
      <c r="G9" s="1">
        <v>1</v>
      </c>
      <c r="H9" s="1">
        <f>F9*G9</f>
        <v>2400</v>
      </c>
      <c r="I9" s="1">
        <f>10960+2400</f>
        <v>13360</v>
      </c>
      <c r="J9" s="1">
        <v>1330</v>
      </c>
      <c r="K9" s="8"/>
      <c r="L9" s="4"/>
      <c r="M9" s="4"/>
      <c r="N9" s="4"/>
      <c r="O9" s="4"/>
      <c r="P9" s="4"/>
      <c r="Q9" s="4"/>
      <c r="R9" s="4"/>
      <c r="S9" s="4"/>
      <c r="T9" s="4"/>
    </row>
    <row r="10" spans="2:20" ht="13.5">
      <c r="B10" s="1" t="s">
        <v>272</v>
      </c>
      <c r="C10" s="1">
        <v>2340</v>
      </c>
      <c r="D10" s="1">
        <v>1.5</v>
      </c>
      <c r="E10" s="1">
        <f>C10*D10</f>
        <v>3510</v>
      </c>
      <c r="F10" s="1">
        <f>11900-(2340+5960)</f>
        <v>3600</v>
      </c>
      <c r="G10" s="1">
        <v>1</v>
      </c>
      <c r="H10" s="1">
        <f>F10*G10</f>
        <v>3600</v>
      </c>
      <c r="I10" s="1">
        <f>10960+3600</f>
        <v>14560</v>
      </c>
      <c r="J10" s="1">
        <v>1450</v>
      </c>
      <c r="K10" s="8"/>
      <c r="L10" s="4"/>
      <c r="M10" s="4"/>
      <c r="N10" s="4"/>
      <c r="O10" s="4"/>
      <c r="P10" s="4"/>
      <c r="Q10" s="4"/>
      <c r="R10" s="4"/>
      <c r="S10" s="4"/>
      <c r="T10" s="4"/>
    </row>
    <row r="11" spans="2:20" ht="13.5">
      <c r="B11" s="11" t="s">
        <v>110</v>
      </c>
      <c r="C11" s="11">
        <v>4070</v>
      </c>
      <c r="D11" s="11">
        <v>1.5</v>
      </c>
      <c r="E11" s="11">
        <f t="shared" si="0"/>
        <v>6105</v>
      </c>
      <c r="F11" s="11">
        <f>5900-4070</f>
        <v>1830</v>
      </c>
      <c r="G11" s="11">
        <v>1.25</v>
      </c>
      <c r="H11" s="11">
        <f t="shared" si="1"/>
        <v>2287.5</v>
      </c>
      <c r="I11" s="11">
        <v>8390</v>
      </c>
      <c r="J11" s="11">
        <v>830</v>
      </c>
      <c r="K11" s="8"/>
      <c r="L11" s="4"/>
      <c r="M11" s="4"/>
      <c r="N11" s="4"/>
      <c r="O11" s="4"/>
      <c r="P11" s="4"/>
      <c r="Q11" s="4"/>
      <c r="R11" s="4"/>
      <c r="S11" s="4"/>
      <c r="T11" s="4"/>
    </row>
    <row r="12" spans="2:20" ht="13.5">
      <c r="B12" s="11" t="s">
        <v>111</v>
      </c>
      <c r="C12" s="11">
        <v>4070</v>
      </c>
      <c r="D12" s="11">
        <v>1.5</v>
      </c>
      <c r="E12" s="11">
        <f t="shared" si="0"/>
        <v>6105</v>
      </c>
      <c r="F12" s="11">
        <f>7100-4070</f>
        <v>3030</v>
      </c>
      <c r="G12" s="11">
        <v>1.25</v>
      </c>
      <c r="H12" s="11">
        <f t="shared" si="1"/>
        <v>3787.5</v>
      </c>
      <c r="I12" s="11">
        <v>9890</v>
      </c>
      <c r="J12" s="11">
        <v>980</v>
      </c>
      <c r="K12" s="8"/>
      <c r="L12" s="4"/>
      <c r="M12" s="4"/>
      <c r="N12" s="4"/>
      <c r="O12" s="4"/>
      <c r="P12" s="4"/>
      <c r="Q12" s="4"/>
      <c r="R12" s="4"/>
      <c r="S12" s="4"/>
      <c r="T12" s="4"/>
    </row>
    <row r="13" spans="2:20" ht="13.5">
      <c r="B13" s="11" t="s">
        <v>112</v>
      </c>
      <c r="C13" s="11">
        <v>4070</v>
      </c>
      <c r="D13" s="11">
        <v>1.5</v>
      </c>
      <c r="E13" s="11">
        <f t="shared" si="0"/>
        <v>6105</v>
      </c>
      <c r="F13" s="11">
        <f>8300-4070</f>
        <v>4230</v>
      </c>
      <c r="G13" s="11">
        <v>1.25</v>
      </c>
      <c r="H13" s="11">
        <f t="shared" si="1"/>
        <v>5287.5</v>
      </c>
      <c r="I13" s="11">
        <v>11390</v>
      </c>
      <c r="J13" s="11">
        <v>1130</v>
      </c>
      <c r="K13" s="8"/>
      <c r="L13" s="4"/>
      <c r="M13" s="4"/>
      <c r="N13" s="4"/>
      <c r="O13" s="4"/>
      <c r="P13" s="4"/>
      <c r="Q13" s="4"/>
      <c r="R13" s="4"/>
      <c r="S13" s="4"/>
      <c r="T13" s="4"/>
    </row>
    <row r="14" spans="2:20" ht="13.5">
      <c r="B14" s="11" t="s">
        <v>113</v>
      </c>
      <c r="C14" s="11">
        <v>4070</v>
      </c>
      <c r="D14" s="11">
        <v>1.5</v>
      </c>
      <c r="E14" s="11">
        <f t="shared" si="0"/>
        <v>6105</v>
      </c>
      <c r="F14" s="11">
        <f>9500-4070</f>
        <v>5430</v>
      </c>
      <c r="G14" s="11">
        <v>1.25</v>
      </c>
      <c r="H14" s="11">
        <f t="shared" si="1"/>
        <v>6787.5</v>
      </c>
      <c r="I14" s="11">
        <v>12890</v>
      </c>
      <c r="J14" s="11">
        <v>1280</v>
      </c>
      <c r="K14" s="8"/>
      <c r="L14" s="4"/>
      <c r="M14" s="4"/>
      <c r="N14" s="4"/>
      <c r="O14" s="4"/>
      <c r="P14" s="4"/>
      <c r="Q14" s="4"/>
      <c r="R14" s="4"/>
      <c r="S14" s="4"/>
      <c r="T14" s="4"/>
    </row>
    <row r="15" spans="2:20" ht="13.5">
      <c r="B15" s="1" t="s">
        <v>273</v>
      </c>
      <c r="C15" s="1">
        <v>4070</v>
      </c>
      <c r="D15" s="1">
        <v>1.5</v>
      </c>
      <c r="E15" s="1">
        <f>C15*D15</f>
        <v>6105</v>
      </c>
      <c r="F15" s="1">
        <f>10700-(4070+5430)</f>
        <v>1200</v>
      </c>
      <c r="G15" s="1">
        <v>1</v>
      </c>
      <c r="H15" s="1">
        <f t="shared" si="1"/>
        <v>1200</v>
      </c>
      <c r="I15" s="1">
        <f>12890+1200</f>
        <v>14090</v>
      </c>
      <c r="J15" s="1">
        <v>1400</v>
      </c>
      <c r="K15" s="8"/>
      <c r="L15" s="4"/>
      <c r="M15" s="4"/>
      <c r="N15" s="4"/>
      <c r="O15" s="4"/>
      <c r="P15" s="4"/>
      <c r="Q15" s="4"/>
      <c r="R15" s="4"/>
      <c r="S15" s="4"/>
      <c r="T15" s="4"/>
    </row>
    <row r="16" spans="2:20" ht="13.5">
      <c r="B16" s="1" t="s">
        <v>274</v>
      </c>
      <c r="C16" s="1">
        <v>4070</v>
      </c>
      <c r="D16" s="1">
        <v>1.5</v>
      </c>
      <c r="E16" s="1">
        <f>C16*D16</f>
        <v>6105</v>
      </c>
      <c r="F16" s="1">
        <f>11900-(4070+5430)</f>
        <v>2400</v>
      </c>
      <c r="G16" s="1">
        <v>1</v>
      </c>
      <c r="H16" s="1">
        <f t="shared" si="1"/>
        <v>2400</v>
      </c>
      <c r="I16" s="1">
        <f>12890+2400</f>
        <v>15290</v>
      </c>
      <c r="J16" s="1">
        <v>1520</v>
      </c>
      <c r="K16" s="8"/>
      <c r="L16" s="4"/>
      <c r="M16" s="4"/>
      <c r="N16" s="4"/>
      <c r="O16" s="4"/>
      <c r="P16" s="4"/>
      <c r="Q16" s="4"/>
      <c r="R16" s="4"/>
      <c r="S16" s="4"/>
      <c r="T16" s="4"/>
    </row>
    <row r="17" spans="2:20" ht="13.5">
      <c r="B17" s="13" t="s">
        <v>114</v>
      </c>
      <c r="C17" s="13">
        <v>5900</v>
      </c>
      <c r="D17" s="13">
        <v>1.5</v>
      </c>
      <c r="E17" s="13">
        <f t="shared" si="0"/>
        <v>8850</v>
      </c>
      <c r="F17" s="13">
        <f>7100-5900</f>
        <v>1200</v>
      </c>
      <c r="G17" s="13">
        <v>1.25</v>
      </c>
      <c r="H17" s="13">
        <f t="shared" si="1"/>
        <v>1500</v>
      </c>
      <c r="I17" s="13">
        <f>8850+1500</f>
        <v>10350</v>
      </c>
      <c r="J17" s="13">
        <v>1030</v>
      </c>
      <c r="K17" s="8"/>
      <c r="L17" s="4"/>
      <c r="M17" s="4"/>
      <c r="N17" s="4"/>
      <c r="O17" s="4"/>
      <c r="P17" s="4"/>
      <c r="Q17" s="4"/>
      <c r="R17" s="4"/>
      <c r="S17" s="4"/>
      <c r="T17" s="4"/>
    </row>
    <row r="18" spans="2:20" ht="13.5">
      <c r="B18" s="13" t="s">
        <v>120</v>
      </c>
      <c r="C18" s="13">
        <v>5900</v>
      </c>
      <c r="D18" s="13">
        <v>1.5</v>
      </c>
      <c r="E18" s="13">
        <f t="shared" si="0"/>
        <v>8850</v>
      </c>
      <c r="F18" s="13">
        <f>8300-5900</f>
        <v>2400</v>
      </c>
      <c r="G18" s="13">
        <v>1.25</v>
      </c>
      <c r="H18" s="13">
        <f t="shared" si="1"/>
        <v>3000</v>
      </c>
      <c r="I18" s="13">
        <f>8850+3000</f>
        <v>11850</v>
      </c>
      <c r="J18" s="13">
        <v>1180</v>
      </c>
      <c r="K18" s="8"/>
      <c r="L18" s="4"/>
      <c r="M18" s="4"/>
      <c r="N18" s="4"/>
      <c r="O18" s="4"/>
      <c r="P18" s="4"/>
      <c r="Q18" s="4"/>
      <c r="R18" s="4"/>
      <c r="S18" s="4"/>
      <c r="T18" s="4"/>
    </row>
    <row r="19" spans="2:20" ht="13.5">
      <c r="B19" s="13" t="s">
        <v>115</v>
      </c>
      <c r="C19" s="13">
        <v>5900</v>
      </c>
      <c r="D19" s="13">
        <v>1.5</v>
      </c>
      <c r="E19" s="13">
        <f t="shared" si="0"/>
        <v>8850</v>
      </c>
      <c r="F19" s="13">
        <f>9500-5900</f>
        <v>3600</v>
      </c>
      <c r="G19" s="13">
        <v>1.25</v>
      </c>
      <c r="H19" s="13">
        <f t="shared" si="1"/>
        <v>4500</v>
      </c>
      <c r="I19" s="13">
        <f>8850+4500</f>
        <v>13350</v>
      </c>
      <c r="J19" s="13">
        <v>1330</v>
      </c>
      <c r="K19" s="8"/>
      <c r="L19" s="4"/>
      <c r="M19" s="4"/>
      <c r="N19" s="4"/>
      <c r="O19" s="4"/>
      <c r="P19" s="4"/>
      <c r="Q19" s="4"/>
      <c r="R19" s="4"/>
      <c r="S19" s="4"/>
      <c r="T19" s="4"/>
    </row>
    <row r="20" spans="2:20" ht="13.5">
      <c r="B20" s="13" t="s">
        <v>210</v>
      </c>
      <c r="C20" s="13">
        <v>5900</v>
      </c>
      <c r="D20" s="13">
        <v>1.5</v>
      </c>
      <c r="E20" s="13">
        <f>C20*D20</f>
        <v>8850</v>
      </c>
      <c r="F20" s="13">
        <f>10700-5900</f>
        <v>4800</v>
      </c>
      <c r="G20" s="13">
        <v>1.25</v>
      </c>
      <c r="H20" s="13">
        <f t="shared" si="1"/>
        <v>6000</v>
      </c>
      <c r="I20" s="13">
        <f>8850+6000</f>
        <v>14850</v>
      </c>
      <c r="J20" s="13">
        <v>1480</v>
      </c>
      <c r="K20" s="8"/>
      <c r="L20" s="4"/>
      <c r="M20" s="4"/>
      <c r="N20" s="4"/>
      <c r="O20" s="4"/>
      <c r="P20" s="4"/>
      <c r="Q20" s="4"/>
      <c r="R20" s="4"/>
      <c r="S20" s="4"/>
      <c r="T20" s="4"/>
    </row>
    <row r="21" spans="2:20" ht="13.5">
      <c r="B21" s="13" t="s">
        <v>275</v>
      </c>
      <c r="C21" s="13">
        <v>5900</v>
      </c>
      <c r="D21" s="13">
        <v>1.5</v>
      </c>
      <c r="E21" s="13">
        <f>C21*D21</f>
        <v>8850</v>
      </c>
      <c r="F21" s="13">
        <f>11900-(5900+4800)</f>
        <v>1200</v>
      </c>
      <c r="G21" s="13">
        <v>1</v>
      </c>
      <c r="H21" s="13">
        <f t="shared" si="1"/>
        <v>1200</v>
      </c>
      <c r="I21" s="13">
        <f>8850+6000+1200</f>
        <v>16050</v>
      </c>
      <c r="J21" s="13">
        <v>1600</v>
      </c>
      <c r="K21" s="8"/>
      <c r="L21" s="4"/>
      <c r="M21" s="4"/>
      <c r="N21" s="4"/>
      <c r="O21" s="4"/>
      <c r="P21" s="4"/>
      <c r="Q21" s="4"/>
      <c r="R21" s="4"/>
      <c r="S21" s="4"/>
      <c r="T21" s="4"/>
    </row>
    <row r="22" spans="2:20" ht="13.5">
      <c r="B22" s="3" t="s">
        <v>116</v>
      </c>
      <c r="C22" s="3">
        <v>7100</v>
      </c>
      <c r="D22" s="3">
        <v>1.5</v>
      </c>
      <c r="E22" s="3">
        <f t="shared" si="0"/>
        <v>10650</v>
      </c>
      <c r="F22" s="3">
        <f>8300-7100</f>
        <v>1200</v>
      </c>
      <c r="G22" s="3">
        <v>1.25</v>
      </c>
      <c r="H22" s="3">
        <f t="shared" si="1"/>
        <v>1500</v>
      </c>
      <c r="I22" s="3">
        <f>10650+1500</f>
        <v>12150</v>
      </c>
      <c r="J22" s="3">
        <v>1210</v>
      </c>
      <c r="K22" s="8"/>
      <c r="L22" s="4"/>
      <c r="M22" s="4"/>
      <c r="N22" s="4"/>
      <c r="O22" s="4"/>
      <c r="P22" s="4"/>
      <c r="Q22" s="4"/>
      <c r="R22" s="4"/>
      <c r="S22" s="4"/>
      <c r="T22" s="4"/>
    </row>
    <row r="23" spans="2:20" ht="13.5">
      <c r="B23" s="3" t="s">
        <v>117</v>
      </c>
      <c r="C23" s="3">
        <v>7100</v>
      </c>
      <c r="D23" s="3">
        <v>1.5</v>
      </c>
      <c r="E23" s="3">
        <f t="shared" si="0"/>
        <v>10650</v>
      </c>
      <c r="F23" s="3">
        <f>9500-7100</f>
        <v>2400</v>
      </c>
      <c r="G23" s="3">
        <v>1.25</v>
      </c>
      <c r="H23" s="3">
        <f t="shared" si="1"/>
        <v>3000</v>
      </c>
      <c r="I23" s="3">
        <f>10650+3000</f>
        <v>13650</v>
      </c>
      <c r="J23" s="3">
        <v>1360</v>
      </c>
      <c r="K23" s="8"/>
      <c r="L23" s="4"/>
      <c r="M23" s="4"/>
      <c r="N23" s="4"/>
      <c r="O23" s="4"/>
      <c r="P23" s="4"/>
      <c r="Q23" s="4"/>
      <c r="R23" s="4"/>
      <c r="S23" s="4"/>
      <c r="T23" s="4"/>
    </row>
    <row r="24" spans="2:20" ht="13.5">
      <c r="B24" s="3" t="s">
        <v>212</v>
      </c>
      <c r="C24" s="3">
        <v>7100</v>
      </c>
      <c r="D24" s="3">
        <v>1.5</v>
      </c>
      <c r="E24" s="3">
        <f>C24*D24</f>
        <v>10650</v>
      </c>
      <c r="F24" s="3">
        <f>10700-7100</f>
        <v>3600</v>
      </c>
      <c r="G24" s="3">
        <v>1.25</v>
      </c>
      <c r="H24" s="3">
        <f t="shared" si="1"/>
        <v>4500</v>
      </c>
      <c r="I24" s="3">
        <f>10650+4500</f>
        <v>15150</v>
      </c>
      <c r="J24" s="3">
        <v>1510</v>
      </c>
      <c r="K24" s="8"/>
      <c r="L24" s="4"/>
      <c r="M24" s="4"/>
      <c r="N24" s="4"/>
      <c r="O24" s="4"/>
      <c r="P24" s="4"/>
      <c r="Q24" s="4"/>
      <c r="R24" s="4"/>
      <c r="S24" s="4"/>
      <c r="T24" s="4"/>
    </row>
    <row r="25" spans="2:20" ht="13.5">
      <c r="B25" s="3" t="s">
        <v>211</v>
      </c>
      <c r="C25" s="3">
        <v>7100</v>
      </c>
      <c r="D25" s="3">
        <v>1.5</v>
      </c>
      <c r="E25" s="3">
        <f>C25*D25</f>
        <v>10650</v>
      </c>
      <c r="F25" s="3">
        <f>11900-7100</f>
        <v>4800</v>
      </c>
      <c r="G25" s="3">
        <v>1.25</v>
      </c>
      <c r="H25" s="3">
        <f t="shared" si="1"/>
        <v>6000</v>
      </c>
      <c r="I25" s="3">
        <f>10650+6000</f>
        <v>16650</v>
      </c>
      <c r="J25" s="3">
        <v>1660</v>
      </c>
      <c r="K25" s="8"/>
      <c r="L25" s="4"/>
      <c r="M25" s="4"/>
      <c r="N25" s="4"/>
      <c r="O25" s="4"/>
      <c r="P25" s="4"/>
      <c r="Q25" s="4"/>
      <c r="R25" s="4"/>
      <c r="S25" s="4"/>
      <c r="T25" s="4"/>
    </row>
    <row r="26" spans="2:20" ht="13.5">
      <c r="B26" s="14" t="s">
        <v>118</v>
      </c>
      <c r="C26" s="14">
        <v>8300</v>
      </c>
      <c r="D26" s="14">
        <v>1.5</v>
      </c>
      <c r="E26" s="14">
        <f t="shared" si="0"/>
        <v>12450</v>
      </c>
      <c r="F26" s="14">
        <f>9500-8300</f>
        <v>1200</v>
      </c>
      <c r="G26" s="14">
        <v>1.25</v>
      </c>
      <c r="H26" s="14">
        <f t="shared" si="1"/>
        <v>1500</v>
      </c>
      <c r="I26" s="14">
        <f>12450+1500</f>
        <v>13950</v>
      </c>
      <c r="J26" s="14">
        <v>1390</v>
      </c>
      <c r="K26" s="8"/>
      <c r="L26" s="4"/>
      <c r="M26" s="4"/>
      <c r="N26" s="4"/>
      <c r="O26" s="4"/>
      <c r="P26" s="4"/>
      <c r="Q26" s="4"/>
      <c r="R26" s="4"/>
      <c r="S26" s="4"/>
      <c r="T26" s="4"/>
    </row>
    <row r="27" spans="2:20" ht="13.5">
      <c r="B27" s="14" t="s">
        <v>213</v>
      </c>
      <c r="C27" s="14">
        <v>8300</v>
      </c>
      <c r="D27" s="14">
        <v>1.5</v>
      </c>
      <c r="E27" s="14">
        <f t="shared" si="0"/>
        <v>12450</v>
      </c>
      <c r="F27" s="14">
        <f>10700-8300</f>
        <v>2400</v>
      </c>
      <c r="G27" s="14">
        <v>1.25</v>
      </c>
      <c r="H27" s="14">
        <f t="shared" si="1"/>
        <v>3000</v>
      </c>
      <c r="I27" s="14">
        <f>12450+3000</f>
        <v>15450</v>
      </c>
      <c r="J27" s="14">
        <v>1540</v>
      </c>
      <c r="K27" s="8"/>
      <c r="L27" s="4"/>
      <c r="M27" s="4"/>
      <c r="N27" s="4"/>
      <c r="O27" s="4"/>
      <c r="P27" s="4"/>
      <c r="Q27" s="4"/>
      <c r="R27" s="4"/>
      <c r="S27" s="4"/>
      <c r="T27" s="4"/>
    </row>
    <row r="28" spans="2:20" ht="13.5">
      <c r="B28" s="14" t="s">
        <v>214</v>
      </c>
      <c r="C28" s="14">
        <v>8300</v>
      </c>
      <c r="D28" s="14">
        <v>1.5</v>
      </c>
      <c r="E28" s="14">
        <f t="shared" si="0"/>
        <v>12450</v>
      </c>
      <c r="F28" s="14">
        <f>11900-8300</f>
        <v>3600</v>
      </c>
      <c r="G28" s="14">
        <v>1.25</v>
      </c>
      <c r="H28" s="14">
        <f t="shared" si="1"/>
        <v>4500</v>
      </c>
      <c r="I28" s="14">
        <f>12450+4500</f>
        <v>16950</v>
      </c>
      <c r="J28" s="14">
        <v>1690</v>
      </c>
      <c r="L28" s="4"/>
      <c r="M28" s="4"/>
      <c r="N28" s="4"/>
      <c r="O28" s="4"/>
      <c r="P28" s="4"/>
      <c r="Q28" s="4"/>
      <c r="R28" s="4"/>
      <c r="S28" s="4"/>
      <c r="T28" s="4"/>
    </row>
    <row r="29" spans="2:20" ht="13.5">
      <c r="B29" s="3" t="s">
        <v>215</v>
      </c>
      <c r="C29" s="3">
        <v>9500</v>
      </c>
      <c r="D29" s="3">
        <v>1.5</v>
      </c>
      <c r="E29" s="3">
        <f t="shared" si="0"/>
        <v>14250</v>
      </c>
      <c r="F29" s="3">
        <f>10700-9500</f>
        <v>1200</v>
      </c>
      <c r="G29" s="3">
        <v>1.25</v>
      </c>
      <c r="H29" s="3">
        <f t="shared" si="1"/>
        <v>1500</v>
      </c>
      <c r="I29" s="3">
        <f>14250+1500</f>
        <v>15750</v>
      </c>
      <c r="J29" s="3">
        <v>1570</v>
      </c>
      <c r="L29" s="4"/>
      <c r="M29" s="4"/>
      <c r="N29" s="4"/>
      <c r="O29" s="4"/>
      <c r="P29" s="4"/>
      <c r="Q29" s="4"/>
      <c r="R29" s="4"/>
      <c r="S29" s="4"/>
      <c r="T29" s="4"/>
    </row>
    <row r="30" spans="2:10" ht="13.5">
      <c r="B30" s="3" t="s">
        <v>216</v>
      </c>
      <c r="C30" s="3">
        <v>9500</v>
      </c>
      <c r="D30" s="3">
        <v>1.5</v>
      </c>
      <c r="E30" s="3">
        <f t="shared" si="0"/>
        <v>14250</v>
      </c>
      <c r="F30" s="3">
        <f>11900-9500</f>
        <v>2400</v>
      </c>
      <c r="G30" s="3">
        <v>1.25</v>
      </c>
      <c r="H30" s="3">
        <f t="shared" si="1"/>
        <v>3000</v>
      </c>
      <c r="I30" s="3">
        <f>14250+3000</f>
        <v>17250</v>
      </c>
      <c r="J30" s="3">
        <v>1720</v>
      </c>
    </row>
    <row r="31" spans="2:10" ht="13.5">
      <c r="B31" s="18" t="s">
        <v>217</v>
      </c>
      <c r="C31" s="18">
        <v>10700</v>
      </c>
      <c r="D31" s="18">
        <v>1.5</v>
      </c>
      <c r="E31" s="18">
        <f t="shared" si="0"/>
        <v>16050</v>
      </c>
      <c r="F31" s="18">
        <f>11900-10700</f>
        <v>1200</v>
      </c>
      <c r="G31" s="18">
        <v>1.25</v>
      </c>
      <c r="H31" s="18">
        <f t="shared" si="1"/>
        <v>1500</v>
      </c>
      <c r="I31" s="18">
        <f>16050+1500</f>
        <v>17550</v>
      </c>
      <c r="J31" s="18">
        <v>1750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18.125" style="0" customWidth="1"/>
    <col min="3" max="4" width="7.50390625" style="0" customWidth="1"/>
    <col min="5" max="5" width="7.75390625" style="0" customWidth="1"/>
    <col min="6" max="6" width="12.25390625" style="0" customWidth="1"/>
    <col min="7" max="7" width="6.50390625" style="0" customWidth="1"/>
    <col min="8" max="8" width="7.75390625" style="0" customWidth="1"/>
    <col min="9" max="9" width="16.375" style="0" customWidth="1"/>
    <col min="10" max="10" width="11.00390625" style="0" customWidth="1"/>
    <col min="12" max="12" width="21.25390625" style="0" customWidth="1"/>
    <col min="13" max="13" width="8.125" style="0" customWidth="1"/>
    <col min="14" max="14" width="9.875" style="0" customWidth="1"/>
    <col min="15" max="15" width="8.25390625" style="0" customWidth="1"/>
    <col min="16" max="16" width="12.625" style="0" customWidth="1"/>
    <col min="17" max="17" width="7.00390625" style="0" customWidth="1"/>
    <col min="18" max="18" width="7.375" style="0" customWidth="1"/>
    <col min="19" max="19" width="17.125" style="0" customWidth="1"/>
    <col min="20" max="20" width="11.375" style="0" customWidth="1"/>
  </cols>
  <sheetData>
    <row r="1" spans="1:2" ht="13.5">
      <c r="A1" s="1" t="s">
        <v>0</v>
      </c>
      <c r="B1" s="1"/>
    </row>
    <row r="2" spans="1:12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54</v>
      </c>
      <c r="L2" s="1"/>
    </row>
    <row r="3" spans="2:20" ht="13.5">
      <c r="B3" s="1" t="s">
        <v>3</v>
      </c>
      <c r="C3" s="1" t="s">
        <v>106</v>
      </c>
      <c r="D3" s="1" t="s">
        <v>119</v>
      </c>
      <c r="E3" s="1" t="s">
        <v>121</v>
      </c>
      <c r="F3" s="1" t="s">
        <v>123</v>
      </c>
      <c r="G3" s="1" t="s">
        <v>119</v>
      </c>
      <c r="H3" s="1" t="s">
        <v>122</v>
      </c>
      <c r="I3" s="1" t="s">
        <v>324</v>
      </c>
      <c r="J3" s="1" t="s">
        <v>103</v>
      </c>
      <c r="K3" s="1" t="s">
        <v>2</v>
      </c>
      <c r="L3" s="1" t="s">
        <v>3</v>
      </c>
      <c r="M3" s="1" t="s">
        <v>106</v>
      </c>
      <c r="N3" s="1" t="s">
        <v>119</v>
      </c>
      <c r="O3" s="1" t="s">
        <v>121</v>
      </c>
      <c r="P3" s="1" t="s">
        <v>123</v>
      </c>
      <c r="Q3" s="1" t="s">
        <v>119</v>
      </c>
      <c r="R3" s="1" t="s">
        <v>122</v>
      </c>
      <c r="S3" s="1" t="s">
        <v>324</v>
      </c>
      <c r="T3" s="1" t="s">
        <v>103</v>
      </c>
    </row>
    <row r="4" spans="2:20" ht="13.5">
      <c r="B4" s="12" t="s">
        <v>124</v>
      </c>
      <c r="C4" s="12">
        <v>2340</v>
      </c>
      <c r="D4" s="12">
        <v>1.25</v>
      </c>
      <c r="E4" s="12">
        <f>C4*D4</f>
        <v>2925</v>
      </c>
      <c r="F4" s="12">
        <v>1730</v>
      </c>
      <c r="G4" s="12">
        <v>1</v>
      </c>
      <c r="H4" s="12">
        <f>F4*G4</f>
        <v>1730</v>
      </c>
      <c r="I4" s="12">
        <f>2920+1730</f>
        <v>4650</v>
      </c>
      <c r="J4" s="12">
        <v>460</v>
      </c>
      <c r="K4" s="1"/>
      <c r="L4" s="1" t="s">
        <v>267</v>
      </c>
      <c r="M4" s="1">
        <v>810</v>
      </c>
      <c r="N4" s="1">
        <v>1.25</v>
      </c>
      <c r="O4" s="1">
        <f>M4*N4</f>
        <v>1012.5</v>
      </c>
      <c r="P4" s="1">
        <f>1530-810</f>
        <v>720</v>
      </c>
      <c r="Q4" s="1">
        <v>1</v>
      </c>
      <c r="R4" s="1">
        <f>P4*Q4</f>
        <v>720</v>
      </c>
      <c r="S4" s="1">
        <f>1010+720</f>
        <v>1730</v>
      </c>
      <c r="T4" s="1">
        <v>170</v>
      </c>
    </row>
    <row r="5" spans="2:18" ht="13.5">
      <c r="B5" s="12" t="s">
        <v>125</v>
      </c>
      <c r="C5" s="12">
        <v>2340</v>
      </c>
      <c r="D5" s="12">
        <v>1.25</v>
      </c>
      <c r="E5" s="12">
        <f aca="true" t="shared" si="0" ref="E5:E26">C5*D5</f>
        <v>2925</v>
      </c>
      <c r="F5" s="12">
        <f>5900-2340</f>
        <v>3560</v>
      </c>
      <c r="G5" s="12">
        <v>1</v>
      </c>
      <c r="H5" s="12">
        <f aca="true" t="shared" si="1" ref="H5:H31">F5*G5</f>
        <v>3560</v>
      </c>
      <c r="I5" s="12">
        <f>2920+3560</f>
        <v>6480</v>
      </c>
      <c r="J5" s="12">
        <v>640</v>
      </c>
      <c r="K5" s="7"/>
      <c r="L5" s="6"/>
      <c r="M5" s="6"/>
      <c r="N5" s="6"/>
      <c r="O5" s="6"/>
      <c r="P5" s="6"/>
      <c r="Q5" s="6"/>
      <c r="R5" s="6"/>
    </row>
    <row r="6" spans="2:18" ht="13.5">
      <c r="B6" s="12" t="s">
        <v>126</v>
      </c>
      <c r="C6" s="12">
        <v>2340</v>
      </c>
      <c r="D6" s="12">
        <v>1.25</v>
      </c>
      <c r="E6" s="12">
        <f t="shared" si="0"/>
        <v>2925</v>
      </c>
      <c r="F6" s="12">
        <f>7100-2340</f>
        <v>4760</v>
      </c>
      <c r="G6" s="12">
        <v>1</v>
      </c>
      <c r="H6" s="12">
        <f t="shared" si="1"/>
        <v>4760</v>
      </c>
      <c r="I6" s="12">
        <f>2920+4760</f>
        <v>7680</v>
      </c>
      <c r="J6" s="12">
        <v>760</v>
      </c>
      <c r="K6" s="8"/>
      <c r="L6" s="4"/>
      <c r="M6" s="4"/>
      <c r="N6" s="4"/>
      <c r="O6" s="4"/>
      <c r="P6" s="4"/>
      <c r="Q6" s="4"/>
      <c r="R6" s="4"/>
    </row>
    <row r="7" spans="2:18" ht="13.5">
      <c r="B7" s="12" t="s">
        <v>127</v>
      </c>
      <c r="C7" s="12">
        <v>2340</v>
      </c>
      <c r="D7" s="12">
        <v>1.25</v>
      </c>
      <c r="E7" s="12">
        <f t="shared" si="0"/>
        <v>2925</v>
      </c>
      <c r="F7" s="12">
        <f>8300-2340</f>
        <v>5960</v>
      </c>
      <c r="G7" s="12">
        <v>1</v>
      </c>
      <c r="H7" s="12">
        <f t="shared" si="1"/>
        <v>5960</v>
      </c>
      <c r="I7" s="12">
        <f>2920+5960</f>
        <v>8880</v>
      </c>
      <c r="J7" s="12">
        <v>880</v>
      </c>
      <c r="K7" s="8"/>
      <c r="L7" s="4"/>
      <c r="M7" s="4"/>
      <c r="N7" s="4"/>
      <c r="O7" s="4"/>
      <c r="P7" s="4"/>
      <c r="Q7" s="4"/>
      <c r="R7" s="4"/>
    </row>
    <row r="8" spans="2:18" ht="13.5">
      <c r="B8" s="12" t="s">
        <v>128</v>
      </c>
      <c r="C8" s="12">
        <v>2340</v>
      </c>
      <c r="D8" s="12">
        <v>1.25</v>
      </c>
      <c r="E8" s="12">
        <f t="shared" si="0"/>
        <v>2925</v>
      </c>
      <c r="F8" s="12">
        <f>9500-2340</f>
        <v>7160</v>
      </c>
      <c r="G8" s="12">
        <v>1</v>
      </c>
      <c r="H8" s="12">
        <f t="shared" si="1"/>
        <v>7160</v>
      </c>
      <c r="I8" s="12">
        <f>2920+7160</f>
        <v>10080</v>
      </c>
      <c r="J8" s="12">
        <v>1000</v>
      </c>
      <c r="K8" s="8"/>
      <c r="L8" s="4"/>
      <c r="M8" s="4"/>
      <c r="N8" s="4"/>
      <c r="O8" s="4"/>
      <c r="P8" s="4"/>
      <c r="Q8" s="4"/>
      <c r="R8" s="4"/>
    </row>
    <row r="9" spans="2:18" ht="13.5">
      <c r="B9" s="12" t="s">
        <v>218</v>
      </c>
      <c r="C9" s="12">
        <v>2340</v>
      </c>
      <c r="D9" s="12">
        <v>1.25</v>
      </c>
      <c r="E9" s="12">
        <f>C9*D9</f>
        <v>2925</v>
      </c>
      <c r="F9" s="12">
        <f>10700-2340</f>
        <v>8360</v>
      </c>
      <c r="G9" s="12">
        <v>1</v>
      </c>
      <c r="H9" s="12">
        <f t="shared" si="1"/>
        <v>8360</v>
      </c>
      <c r="I9" s="12">
        <f>2920+8360</f>
        <v>11280</v>
      </c>
      <c r="J9" s="12">
        <v>1120</v>
      </c>
      <c r="K9" s="8"/>
      <c r="L9" s="4"/>
      <c r="M9" s="4"/>
      <c r="N9" s="4"/>
      <c r="O9" s="4"/>
      <c r="P9" s="4"/>
      <c r="Q9" s="4"/>
      <c r="R9" s="4"/>
    </row>
    <row r="10" spans="2:18" ht="13.5">
      <c r="B10" s="12" t="s">
        <v>219</v>
      </c>
      <c r="C10" s="12">
        <v>2340</v>
      </c>
      <c r="D10" s="12">
        <v>1.25</v>
      </c>
      <c r="E10" s="12">
        <f>C10*D10</f>
        <v>2925</v>
      </c>
      <c r="F10" s="12">
        <f>11900-2340</f>
        <v>9560</v>
      </c>
      <c r="G10" s="12">
        <v>1</v>
      </c>
      <c r="H10" s="12">
        <f t="shared" si="1"/>
        <v>9560</v>
      </c>
      <c r="I10" s="12">
        <f>2920+9560</f>
        <v>12480</v>
      </c>
      <c r="J10" s="12">
        <v>1240</v>
      </c>
      <c r="K10" s="8"/>
      <c r="L10" s="4"/>
      <c r="M10" s="4"/>
      <c r="N10" s="4"/>
      <c r="O10" s="4"/>
      <c r="P10" s="4"/>
      <c r="Q10" s="4"/>
      <c r="R10" s="4"/>
    </row>
    <row r="11" spans="2:18" ht="13.5">
      <c r="B11" s="1" t="s">
        <v>129</v>
      </c>
      <c r="C11" s="1">
        <v>4070</v>
      </c>
      <c r="D11" s="1">
        <v>1.25</v>
      </c>
      <c r="E11" s="1">
        <f t="shared" si="0"/>
        <v>5087.5</v>
      </c>
      <c r="F11" s="1">
        <f>5900-4070</f>
        <v>1830</v>
      </c>
      <c r="G11" s="1">
        <v>1</v>
      </c>
      <c r="H11" s="1">
        <f t="shared" si="1"/>
        <v>1830</v>
      </c>
      <c r="I11" s="1">
        <f>5080+1830</f>
        <v>6910</v>
      </c>
      <c r="J11" s="1">
        <v>690</v>
      </c>
      <c r="K11" s="8"/>
      <c r="L11" s="4"/>
      <c r="M11" s="4"/>
      <c r="N11" s="4"/>
      <c r="O11" s="4"/>
      <c r="P11" s="4"/>
      <c r="Q11" s="4"/>
      <c r="R11" s="4"/>
    </row>
    <row r="12" spans="2:18" ht="13.5">
      <c r="B12" s="1" t="s">
        <v>130</v>
      </c>
      <c r="C12" s="1">
        <v>4070</v>
      </c>
      <c r="D12" s="1">
        <v>1.25</v>
      </c>
      <c r="E12" s="1">
        <f t="shared" si="0"/>
        <v>5087.5</v>
      </c>
      <c r="F12" s="1">
        <f>7100-4070</f>
        <v>3030</v>
      </c>
      <c r="G12" s="1">
        <v>1</v>
      </c>
      <c r="H12" s="1">
        <f t="shared" si="1"/>
        <v>3030</v>
      </c>
      <c r="I12" s="1">
        <f>5080+3030</f>
        <v>8110</v>
      </c>
      <c r="J12" s="1">
        <v>810</v>
      </c>
      <c r="K12" s="8"/>
      <c r="L12" s="4"/>
      <c r="M12" s="4"/>
      <c r="N12" s="4"/>
      <c r="O12" s="4"/>
      <c r="P12" s="4"/>
      <c r="Q12" s="4"/>
      <c r="R12" s="4"/>
    </row>
    <row r="13" spans="2:18" ht="13.5">
      <c r="B13" s="1" t="s">
        <v>131</v>
      </c>
      <c r="C13" s="1">
        <v>4070</v>
      </c>
      <c r="D13" s="1">
        <v>1.25</v>
      </c>
      <c r="E13" s="1">
        <f t="shared" si="0"/>
        <v>5087.5</v>
      </c>
      <c r="F13" s="1">
        <f>8300-4070</f>
        <v>4230</v>
      </c>
      <c r="G13" s="1">
        <v>1</v>
      </c>
      <c r="H13" s="1">
        <f t="shared" si="1"/>
        <v>4230</v>
      </c>
      <c r="I13" s="1">
        <f>5080+4230</f>
        <v>9310</v>
      </c>
      <c r="J13" s="1">
        <v>930</v>
      </c>
      <c r="K13" s="8"/>
      <c r="L13" s="4"/>
      <c r="M13" s="4"/>
      <c r="N13" s="4"/>
      <c r="O13" s="4"/>
      <c r="P13" s="4"/>
      <c r="Q13" s="4"/>
      <c r="R13" s="4"/>
    </row>
    <row r="14" spans="2:18" ht="13.5">
      <c r="B14" s="1" t="s">
        <v>132</v>
      </c>
      <c r="C14" s="1">
        <v>4070</v>
      </c>
      <c r="D14" s="1">
        <v>1.25</v>
      </c>
      <c r="E14" s="1">
        <f t="shared" si="0"/>
        <v>5087.5</v>
      </c>
      <c r="F14" s="1">
        <f>9500-4070</f>
        <v>5430</v>
      </c>
      <c r="G14" s="1">
        <v>1</v>
      </c>
      <c r="H14" s="1">
        <f t="shared" si="1"/>
        <v>5430</v>
      </c>
      <c r="I14" s="1">
        <f>5430+5080</f>
        <v>10510</v>
      </c>
      <c r="J14" s="1">
        <v>1050</v>
      </c>
      <c r="K14" s="8"/>
      <c r="L14" s="4"/>
      <c r="M14" s="4"/>
      <c r="N14" s="4"/>
      <c r="O14" s="4"/>
      <c r="P14" s="4"/>
      <c r="Q14" s="4"/>
      <c r="R14" s="4"/>
    </row>
    <row r="15" spans="2:18" ht="13.5">
      <c r="B15" s="1" t="s">
        <v>221</v>
      </c>
      <c r="C15" s="1">
        <v>4070</v>
      </c>
      <c r="D15" s="1">
        <v>1.25</v>
      </c>
      <c r="E15" s="1">
        <f>C15*D15</f>
        <v>5087.5</v>
      </c>
      <c r="F15" s="1">
        <f>10700-4070</f>
        <v>6630</v>
      </c>
      <c r="G15" s="1">
        <v>1</v>
      </c>
      <c r="H15" s="1">
        <f t="shared" si="1"/>
        <v>6630</v>
      </c>
      <c r="I15" s="1">
        <f>5080+6630</f>
        <v>11710</v>
      </c>
      <c r="J15" s="1">
        <v>1170</v>
      </c>
      <c r="K15" s="8"/>
      <c r="L15" s="4"/>
      <c r="M15" s="4"/>
      <c r="N15" s="4"/>
      <c r="O15" s="4"/>
      <c r="P15" s="4"/>
      <c r="Q15" s="4"/>
      <c r="R15" s="4"/>
    </row>
    <row r="16" spans="2:18" ht="13.5">
      <c r="B16" s="1" t="s">
        <v>220</v>
      </c>
      <c r="C16" s="1">
        <v>4070</v>
      </c>
      <c r="D16" s="1">
        <v>1.25</v>
      </c>
      <c r="E16" s="1">
        <f>C16*D16</f>
        <v>5087.5</v>
      </c>
      <c r="F16" s="1">
        <f>11900-4070</f>
        <v>7830</v>
      </c>
      <c r="G16" s="1">
        <v>1</v>
      </c>
      <c r="H16" s="1">
        <f t="shared" si="1"/>
        <v>7830</v>
      </c>
      <c r="I16" s="1">
        <f>5080+7830</f>
        <v>12910</v>
      </c>
      <c r="J16" s="1">
        <v>1290</v>
      </c>
      <c r="K16" s="8"/>
      <c r="L16" s="4"/>
      <c r="M16" s="4"/>
      <c r="N16" s="4"/>
      <c r="O16" s="4"/>
      <c r="P16" s="4"/>
      <c r="Q16" s="4"/>
      <c r="R16" s="4"/>
    </row>
    <row r="17" spans="2:18" ht="13.5">
      <c r="B17" s="11" t="s">
        <v>133</v>
      </c>
      <c r="C17" s="11">
        <v>5900</v>
      </c>
      <c r="D17" s="11">
        <v>1.25</v>
      </c>
      <c r="E17" s="11">
        <f t="shared" si="0"/>
        <v>7375</v>
      </c>
      <c r="F17" s="11">
        <f>7100-5900</f>
        <v>1200</v>
      </c>
      <c r="G17" s="11">
        <v>1</v>
      </c>
      <c r="H17" s="11">
        <f t="shared" si="1"/>
        <v>1200</v>
      </c>
      <c r="I17" s="11">
        <f>7370+1200</f>
        <v>8570</v>
      </c>
      <c r="J17" s="11">
        <v>850</v>
      </c>
      <c r="K17" s="8"/>
      <c r="L17" s="4"/>
      <c r="M17" s="4"/>
      <c r="N17" s="4"/>
      <c r="O17" s="4"/>
      <c r="P17" s="4"/>
      <c r="Q17" s="4"/>
      <c r="R17" s="4"/>
    </row>
    <row r="18" spans="2:18" ht="13.5">
      <c r="B18" s="11" t="s">
        <v>134</v>
      </c>
      <c r="C18" s="11">
        <v>5900</v>
      </c>
      <c r="D18" s="11">
        <v>1.25</v>
      </c>
      <c r="E18" s="11">
        <f t="shared" si="0"/>
        <v>7375</v>
      </c>
      <c r="F18" s="11">
        <f>8300-5900</f>
        <v>2400</v>
      </c>
      <c r="G18" s="11">
        <v>1</v>
      </c>
      <c r="H18" s="11">
        <f t="shared" si="1"/>
        <v>2400</v>
      </c>
      <c r="I18" s="11">
        <f>7370+2400</f>
        <v>9770</v>
      </c>
      <c r="J18" s="11">
        <v>970</v>
      </c>
      <c r="K18" s="8"/>
      <c r="L18" s="4"/>
      <c r="M18" s="4"/>
      <c r="N18" s="4"/>
      <c r="O18" s="4"/>
      <c r="P18" s="4"/>
      <c r="Q18" s="4"/>
      <c r="R18" s="4"/>
    </row>
    <row r="19" spans="2:18" ht="13.5">
      <c r="B19" s="11" t="s">
        <v>135</v>
      </c>
      <c r="C19" s="11">
        <v>5900</v>
      </c>
      <c r="D19" s="11">
        <v>1.25</v>
      </c>
      <c r="E19" s="11">
        <f t="shared" si="0"/>
        <v>7375</v>
      </c>
      <c r="F19" s="11">
        <f>9500-5900</f>
        <v>3600</v>
      </c>
      <c r="G19" s="11">
        <v>1</v>
      </c>
      <c r="H19" s="11">
        <f t="shared" si="1"/>
        <v>3600</v>
      </c>
      <c r="I19" s="11">
        <f>7370+3600</f>
        <v>10970</v>
      </c>
      <c r="J19" s="11">
        <v>1090</v>
      </c>
      <c r="K19" s="8"/>
      <c r="L19" s="4"/>
      <c r="M19" s="4"/>
      <c r="N19" s="4"/>
      <c r="O19" s="4"/>
      <c r="P19" s="4"/>
      <c r="Q19" s="4"/>
      <c r="R19" s="4"/>
    </row>
    <row r="20" spans="2:18" ht="13.5">
      <c r="B20" s="11" t="s">
        <v>222</v>
      </c>
      <c r="C20" s="11">
        <v>5900</v>
      </c>
      <c r="D20" s="11">
        <v>1.25</v>
      </c>
      <c r="E20" s="11">
        <f>C20*D20</f>
        <v>7375</v>
      </c>
      <c r="F20" s="11">
        <f>10700-5900</f>
        <v>4800</v>
      </c>
      <c r="G20" s="11">
        <v>1</v>
      </c>
      <c r="H20" s="11">
        <f t="shared" si="1"/>
        <v>4800</v>
      </c>
      <c r="I20" s="11">
        <f>7370+4800</f>
        <v>12170</v>
      </c>
      <c r="J20" s="11">
        <v>1210</v>
      </c>
      <c r="K20" s="8"/>
      <c r="L20" s="4"/>
      <c r="M20" s="4"/>
      <c r="N20" s="4"/>
      <c r="O20" s="4"/>
      <c r="P20" s="4"/>
      <c r="Q20" s="4"/>
      <c r="R20" s="4"/>
    </row>
    <row r="21" spans="2:18" ht="13.5">
      <c r="B21" s="11" t="s">
        <v>223</v>
      </c>
      <c r="C21" s="11">
        <v>5900</v>
      </c>
      <c r="D21" s="11">
        <v>1.25</v>
      </c>
      <c r="E21" s="11">
        <f>C21*D21</f>
        <v>7375</v>
      </c>
      <c r="F21" s="11">
        <f>11900-5900</f>
        <v>6000</v>
      </c>
      <c r="G21" s="11">
        <v>1</v>
      </c>
      <c r="H21" s="11">
        <f t="shared" si="1"/>
        <v>6000</v>
      </c>
      <c r="I21" s="11">
        <f>7370+6000</f>
        <v>13370</v>
      </c>
      <c r="J21" s="11">
        <v>1330</v>
      </c>
      <c r="K21" s="8"/>
      <c r="L21" s="4"/>
      <c r="M21" s="4"/>
      <c r="N21" s="4"/>
      <c r="O21" s="4"/>
      <c r="P21" s="4"/>
      <c r="Q21" s="4"/>
      <c r="R21" s="4"/>
    </row>
    <row r="22" spans="2:18" ht="13.5">
      <c r="B22" s="1" t="s">
        <v>136</v>
      </c>
      <c r="C22" s="1">
        <v>7100</v>
      </c>
      <c r="D22" s="1">
        <v>1.25</v>
      </c>
      <c r="E22" s="1">
        <f t="shared" si="0"/>
        <v>8875</v>
      </c>
      <c r="F22" s="1">
        <f>8300-7100</f>
        <v>1200</v>
      </c>
      <c r="G22" s="1">
        <v>1</v>
      </c>
      <c r="H22" s="1">
        <f t="shared" si="1"/>
        <v>1200</v>
      </c>
      <c r="I22" s="1">
        <f>8870+1200</f>
        <v>10070</v>
      </c>
      <c r="J22" s="1">
        <v>1000</v>
      </c>
      <c r="K22" s="8"/>
      <c r="L22" s="4"/>
      <c r="M22" s="4"/>
      <c r="N22" s="4"/>
      <c r="O22" s="4"/>
      <c r="P22" s="4"/>
      <c r="Q22" s="4"/>
      <c r="R22" s="4"/>
    </row>
    <row r="23" spans="2:18" ht="13.5">
      <c r="B23" s="1" t="s">
        <v>137</v>
      </c>
      <c r="C23" s="1">
        <v>7100</v>
      </c>
      <c r="D23" s="1">
        <v>1.25</v>
      </c>
      <c r="E23" s="1">
        <f t="shared" si="0"/>
        <v>8875</v>
      </c>
      <c r="F23" s="1">
        <f>9500-7100</f>
        <v>2400</v>
      </c>
      <c r="G23" s="1">
        <v>1</v>
      </c>
      <c r="H23" s="1">
        <f t="shared" si="1"/>
        <v>2400</v>
      </c>
      <c r="I23" s="1">
        <f>8870+2400</f>
        <v>11270</v>
      </c>
      <c r="J23" s="1">
        <v>1120</v>
      </c>
      <c r="K23" s="8"/>
      <c r="L23" s="4"/>
      <c r="M23" s="4"/>
      <c r="N23" s="4"/>
      <c r="O23" s="4"/>
      <c r="P23" s="4"/>
      <c r="Q23" s="4"/>
      <c r="R23" s="4"/>
    </row>
    <row r="24" spans="2:18" ht="13.5">
      <c r="B24" s="1" t="s">
        <v>225</v>
      </c>
      <c r="C24" s="1">
        <v>7100</v>
      </c>
      <c r="D24" s="1">
        <v>1.25</v>
      </c>
      <c r="E24" s="1">
        <f>C24*D24</f>
        <v>8875</v>
      </c>
      <c r="F24" s="1">
        <f>10700-7100</f>
        <v>3600</v>
      </c>
      <c r="G24" s="1">
        <v>1</v>
      </c>
      <c r="H24" s="1">
        <f t="shared" si="1"/>
        <v>3600</v>
      </c>
      <c r="I24" s="1">
        <f>8870+3600</f>
        <v>12470</v>
      </c>
      <c r="J24" s="1">
        <v>1240</v>
      </c>
      <c r="K24" s="8"/>
      <c r="L24" s="4"/>
      <c r="M24" s="4"/>
      <c r="N24" s="4"/>
      <c r="O24" s="4"/>
      <c r="P24" s="4"/>
      <c r="Q24" s="4"/>
      <c r="R24" s="4"/>
    </row>
    <row r="25" spans="2:18" ht="13.5">
      <c r="B25" s="1" t="s">
        <v>224</v>
      </c>
      <c r="C25" s="1">
        <v>7100</v>
      </c>
      <c r="D25" s="1">
        <v>1.25</v>
      </c>
      <c r="E25" s="1">
        <f>C25*D25</f>
        <v>8875</v>
      </c>
      <c r="F25" s="1">
        <f>11900-7100</f>
        <v>4800</v>
      </c>
      <c r="G25" s="1">
        <v>1</v>
      </c>
      <c r="H25" s="1">
        <f t="shared" si="1"/>
        <v>4800</v>
      </c>
      <c r="I25" s="1">
        <f>8870+4800</f>
        <v>13670</v>
      </c>
      <c r="J25" s="1">
        <v>1360</v>
      </c>
      <c r="K25" s="8"/>
      <c r="L25" s="4"/>
      <c r="M25" s="4"/>
      <c r="N25" s="4"/>
      <c r="O25" s="4"/>
      <c r="P25" s="4"/>
      <c r="Q25" s="4"/>
      <c r="R25" s="4"/>
    </row>
    <row r="26" spans="2:18" ht="13.5">
      <c r="B26" s="15" t="s">
        <v>138</v>
      </c>
      <c r="C26" s="15">
        <v>8300</v>
      </c>
      <c r="D26" s="15">
        <v>1.25</v>
      </c>
      <c r="E26" s="15">
        <f t="shared" si="0"/>
        <v>10375</v>
      </c>
      <c r="F26" s="15">
        <f>9500-8300</f>
        <v>1200</v>
      </c>
      <c r="G26" s="15">
        <v>1</v>
      </c>
      <c r="H26" s="15">
        <f t="shared" si="1"/>
        <v>1200</v>
      </c>
      <c r="I26" s="15">
        <f>10370+1200</f>
        <v>11570</v>
      </c>
      <c r="J26" s="15">
        <v>1150</v>
      </c>
      <c r="K26" s="8"/>
      <c r="L26" s="4"/>
      <c r="M26" s="4"/>
      <c r="N26" s="4"/>
      <c r="O26" s="4"/>
      <c r="P26" s="4"/>
      <c r="Q26" s="4"/>
      <c r="R26" s="4"/>
    </row>
    <row r="27" spans="2:18" ht="13.5">
      <c r="B27" s="15" t="s">
        <v>226</v>
      </c>
      <c r="C27" s="15">
        <v>8300</v>
      </c>
      <c r="D27" s="15">
        <v>1.25</v>
      </c>
      <c r="E27" s="15">
        <f>C27*D27</f>
        <v>10375</v>
      </c>
      <c r="F27" s="15">
        <f>10700-8300</f>
        <v>2400</v>
      </c>
      <c r="G27" s="15">
        <v>1</v>
      </c>
      <c r="H27" s="15">
        <f t="shared" si="1"/>
        <v>2400</v>
      </c>
      <c r="I27" s="15">
        <f>10370+2400</f>
        <v>12770</v>
      </c>
      <c r="J27" s="15">
        <v>1270</v>
      </c>
      <c r="K27" s="8"/>
      <c r="L27" s="4"/>
      <c r="M27" s="4"/>
      <c r="N27" s="4"/>
      <c r="O27" s="4"/>
      <c r="P27" s="4"/>
      <c r="Q27" s="4"/>
      <c r="R27" s="4"/>
    </row>
    <row r="28" spans="2:18" ht="13.5">
      <c r="B28" s="15" t="s">
        <v>227</v>
      </c>
      <c r="C28" s="15">
        <v>8300</v>
      </c>
      <c r="D28" s="15">
        <v>1.25</v>
      </c>
      <c r="E28" s="15">
        <f>C28*D28</f>
        <v>10375</v>
      </c>
      <c r="F28" s="15">
        <f>11900-8300</f>
        <v>3600</v>
      </c>
      <c r="G28" s="15">
        <v>1</v>
      </c>
      <c r="H28" s="15">
        <f t="shared" si="1"/>
        <v>3600</v>
      </c>
      <c r="I28" s="15">
        <f>10370+3600</f>
        <v>13970</v>
      </c>
      <c r="J28" s="15">
        <v>1390</v>
      </c>
      <c r="K28" s="8"/>
      <c r="L28" s="4"/>
      <c r="M28" s="4"/>
      <c r="N28" s="4"/>
      <c r="O28" s="4"/>
      <c r="P28" s="4"/>
      <c r="Q28" s="4"/>
      <c r="R28" s="4"/>
    </row>
    <row r="29" spans="2:10" ht="13.5">
      <c r="B29" s="1" t="s">
        <v>228</v>
      </c>
      <c r="C29" s="3">
        <v>9500</v>
      </c>
      <c r="D29" s="3">
        <v>1.25</v>
      </c>
      <c r="E29" s="3">
        <f>C29*D29</f>
        <v>11875</v>
      </c>
      <c r="F29" s="1">
        <f>10700-9500</f>
        <v>1200</v>
      </c>
      <c r="G29" s="3">
        <v>1</v>
      </c>
      <c r="H29" s="3">
        <f t="shared" si="1"/>
        <v>1200</v>
      </c>
      <c r="I29" s="1">
        <f>11870+1200</f>
        <v>13070</v>
      </c>
      <c r="J29" s="1">
        <v>1300</v>
      </c>
    </row>
    <row r="30" spans="2:10" ht="13.5">
      <c r="B30" s="1" t="s">
        <v>229</v>
      </c>
      <c r="C30" s="3">
        <v>9500</v>
      </c>
      <c r="D30" s="3">
        <v>1.25</v>
      </c>
      <c r="E30" s="3">
        <f>C30*D30</f>
        <v>11875</v>
      </c>
      <c r="F30" s="1">
        <f>11900-9500</f>
        <v>2400</v>
      </c>
      <c r="G30" s="3">
        <v>1</v>
      </c>
      <c r="H30" s="3">
        <f t="shared" si="1"/>
        <v>2400</v>
      </c>
      <c r="I30" s="1">
        <f>11870+2400</f>
        <v>14270</v>
      </c>
      <c r="J30" s="1">
        <v>1420</v>
      </c>
    </row>
    <row r="31" spans="2:10" ht="13.5">
      <c r="B31" s="14" t="s">
        <v>230</v>
      </c>
      <c r="C31" s="14">
        <v>10700</v>
      </c>
      <c r="D31" s="14">
        <v>1.25</v>
      </c>
      <c r="E31" s="14">
        <f>C31*D31</f>
        <v>13375</v>
      </c>
      <c r="F31" s="14">
        <f>11900-10700</f>
        <v>1200</v>
      </c>
      <c r="G31" s="14">
        <v>1</v>
      </c>
      <c r="H31" s="14">
        <f t="shared" si="1"/>
        <v>1200</v>
      </c>
      <c r="I31" s="14">
        <f>13370+1200</f>
        <v>14570</v>
      </c>
      <c r="J31" s="14">
        <v>1450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I30" sqref="I30"/>
    </sheetView>
  </sheetViews>
  <sheetFormatPr defaultColWidth="9.00390625" defaultRowHeight="13.5"/>
  <cols>
    <col min="2" max="2" width="18.125" style="0" customWidth="1"/>
    <col min="3" max="3" width="8.25390625" style="0" customWidth="1"/>
    <col min="4" max="4" width="6.25390625" style="0" customWidth="1"/>
    <col min="5" max="5" width="7.75390625" style="0" customWidth="1"/>
    <col min="6" max="6" width="12.875" style="0" customWidth="1"/>
    <col min="8" max="8" width="8.00390625" style="0" customWidth="1"/>
    <col min="9" max="9" width="16.375" style="0" customWidth="1"/>
    <col min="10" max="10" width="11.50390625" style="0" customWidth="1"/>
    <col min="12" max="12" width="21.00390625" style="0" customWidth="1"/>
    <col min="13" max="13" width="6.00390625" style="0" customWidth="1"/>
    <col min="14" max="14" width="7.00390625" style="0" customWidth="1"/>
    <col min="15" max="15" width="6.875" style="0" customWidth="1"/>
    <col min="16" max="16" width="14.25390625" style="0" customWidth="1"/>
    <col min="17" max="17" width="8.25390625" style="0" customWidth="1"/>
    <col min="18" max="18" width="6.875" style="0" customWidth="1"/>
    <col min="19" max="19" width="16.125" style="0" customWidth="1"/>
    <col min="20" max="20" width="11.375" style="0" customWidth="1"/>
  </cols>
  <sheetData>
    <row r="1" spans="1:18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54</v>
      </c>
      <c r="L2" s="1"/>
      <c r="M2" s="1"/>
      <c r="N2" s="1"/>
      <c r="O2" s="1"/>
      <c r="P2" s="1"/>
      <c r="Q2" s="1"/>
      <c r="R2" s="1"/>
      <c r="S2" s="1"/>
      <c r="T2" s="1"/>
    </row>
    <row r="3" spans="2:20" ht="13.5">
      <c r="B3" s="1" t="s">
        <v>3</v>
      </c>
      <c r="C3" s="1" t="s">
        <v>106</v>
      </c>
      <c r="D3" s="1" t="s">
        <v>119</v>
      </c>
      <c r="E3" s="1" t="s">
        <v>121</v>
      </c>
      <c r="F3" s="1" t="s">
        <v>123</v>
      </c>
      <c r="G3" s="1" t="s">
        <v>119</v>
      </c>
      <c r="H3" s="1" t="s">
        <v>122</v>
      </c>
      <c r="I3" s="1" t="s">
        <v>324</v>
      </c>
      <c r="J3" s="1" t="s">
        <v>103</v>
      </c>
      <c r="K3" s="7"/>
      <c r="L3" s="1" t="s">
        <v>3</v>
      </c>
      <c r="M3" s="1" t="s">
        <v>106</v>
      </c>
      <c r="N3" s="1" t="s">
        <v>119</v>
      </c>
      <c r="O3" s="1" t="s">
        <v>121</v>
      </c>
      <c r="P3" s="1" t="s">
        <v>123</v>
      </c>
      <c r="Q3" s="1" t="s">
        <v>119</v>
      </c>
      <c r="R3" s="1" t="s">
        <v>122</v>
      </c>
      <c r="S3" s="1" t="s">
        <v>324</v>
      </c>
      <c r="T3" s="1" t="s">
        <v>103</v>
      </c>
    </row>
    <row r="4" spans="2:20" ht="13.5">
      <c r="B4" s="12" t="s">
        <v>187</v>
      </c>
      <c r="C4" s="12">
        <v>2340</v>
      </c>
      <c r="D4" s="12">
        <v>1</v>
      </c>
      <c r="E4" s="12">
        <f>C4*D4</f>
        <v>2340</v>
      </c>
      <c r="F4" s="12">
        <v>1730</v>
      </c>
      <c r="G4" s="12">
        <v>1.25</v>
      </c>
      <c r="H4" s="12">
        <f>F4*G4</f>
        <v>2162.5</v>
      </c>
      <c r="I4" s="12">
        <f>2340+2160</f>
        <v>4500</v>
      </c>
      <c r="J4" s="12">
        <v>450</v>
      </c>
      <c r="K4" s="8"/>
      <c r="L4" s="1" t="s">
        <v>268</v>
      </c>
      <c r="M4" s="1">
        <v>810</v>
      </c>
      <c r="N4" s="1">
        <v>1</v>
      </c>
      <c r="O4" s="1">
        <f>M4*N4</f>
        <v>810</v>
      </c>
      <c r="P4" s="1">
        <f>1530-810</f>
        <v>720</v>
      </c>
      <c r="Q4" s="1">
        <v>1.25</v>
      </c>
      <c r="R4" s="1">
        <f>P4*Q4</f>
        <v>900</v>
      </c>
      <c r="S4" s="1">
        <f>810+900</f>
        <v>1710</v>
      </c>
      <c r="T4" s="1">
        <v>170</v>
      </c>
    </row>
    <row r="5" spans="2:18" ht="13.5">
      <c r="B5" s="12" t="s">
        <v>188</v>
      </c>
      <c r="C5" s="12">
        <v>2340</v>
      </c>
      <c r="D5" s="12">
        <v>1</v>
      </c>
      <c r="E5" s="12">
        <f aca="true" t="shared" si="0" ref="E5:E31">C5*D5</f>
        <v>2340</v>
      </c>
      <c r="F5" s="12">
        <f>5900-2340</f>
        <v>3560</v>
      </c>
      <c r="G5" s="12">
        <v>1.25</v>
      </c>
      <c r="H5" s="12">
        <f aca="true" t="shared" si="1" ref="H5:H31">F5*G5</f>
        <v>4450</v>
      </c>
      <c r="I5" s="12">
        <f>2340+4450</f>
        <v>6790</v>
      </c>
      <c r="J5" s="16">
        <v>670</v>
      </c>
      <c r="K5" s="8"/>
      <c r="L5" s="6"/>
      <c r="M5" s="6"/>
      <c r="N5" s="6"/>
      <c r="O5" s="6"/>
      <c r="P5" s="6"/>
      <c r="Q5" s="6"/>
      <c r="R5" s="6"/>
    </row>
    <row r="6" spans="2:18" ht="13.5">
      <c r="B6" s="12" t="s">
        <v>189</v>
      </c>
      <c r="C6" s="12">
        <v>2340</v>
      </c>
      <c r="D6" s="12">
        <v>1</v>
      </c>
      <c r="E6" s="12">
        <f t="shared" si="0"/>
        <v>2340</v>
      </c>
      <c r="F6" s="12">
        <f>7100-2340</f>
        <v>4760</v>
      </c>
      <c r="G6" s="12">
        <v>1.25</v>
      </c>
      <c r="H6" s="12">
        <f t="shared" si="1"/>
        <v>5950</v>
      </c>
      <c r="I6" s="12">
        <f>2340+5950</f>
        <v>8290</v>
      </c>
      <c r="J6" s="16">
        <v>820</v>
      </c>
      <c r="K6" s="8"/>
      <c r="L6" s="4"/>
      <c r="M6" s="4"/>
      <c r="N6" s="4"/>
      <c r="O6" s="4"/>
      <c r="P6" s="4"/>
      <c r="Q6" s="4"/>
      <c r="R6" s="4"/>
    </row>
    <row r="7" spans="2:18" ht="13.5">
      <c r="B7" s="12" t="s">
        <v>190</v>
      </c>
      <c r="C7" s="12">
        <v>2340</v>
      </c>
      <c r="D7" s="12">
        <v>1</v>
      </c>
      <c r="E7" s="12">
        <f t="shared" si="0"/>
        <v>2340</v>
      </c>
      <c r="F7" s="12">
        <f>8300-2340</f>
        <v>5960</v>
      </c>
      <c r="G7" s="12">
        <v>1.25</v>
      </c>
      <c r="H7" s="12">
        <f t="shared" si="1"/>
        <v>7450</v>
      </c>
      <c r="I7" s="12">
        <f>2340+7450</f>
        <v>9790</v>
      </c>
      <c r="J7" s="16">
        <v>970</v>
      </c>
      <c r="K7" s="8"/>
      <c r="L7" s="4"/>
      <c r="M7" s="4"/>
      <c r="N7" s="4"/>
      <c r="O7" s="4"/>
      <c r="P7" s="4"/>
      <c r="Q7" s="4"/>
      <c r="R7" s="4"/>
    </row>
    <row r="8" spans="2:18" ht="13.5">
      <c r="B8" s="12" t="s">
        <v>191</v>
      </c>
      <c r="C8" s="12">
        <v>2340</v>
      </c>
      <c r="D8" s="12">
        <v>1</v>
      </c>
      <c r="E8" s="12">
        <f t="shared" si="0"/>
        <v>2340</v>
      </c>
      <c r="F8" s="12">
        <f>9500-2340</f>
        <v>7160</v>
      </c>
      <c r="G8" s="12">
        <v>1.25</v>
      </c>
      <c r="H8" s="12">
        <f t="shared" si="1"/>
        <v>8950</v>
      </c>
      <c r="I8" s="12">
        <f>2340+8950</f>
        <v>11290</v>
      </c>
      <c r="J8" s="16">
        <v>1120</v>
      </c>
      <c r="K8" s="8"/>
      <c r="L8" s="4"/>
      <c r="M8" s="4"/>
      <c r="N8" s="4"/>
      <c r="O8" s="4"/>
      <c r="P8" s="4"/>
      <c r="Q8" s="4"/>
      <c r="R8" s="4"/>
    </row>
    <row r="9" spans="2:18" ht="13.5">
      <c r="B9" s="12" t="s">
        <v>202</v>
      </c>
      <c r="C9" s="12">
        <v>2340</v>
      </c>
      <c r="D9" s="12">
        <v>1</v>
      </c>
      <c r="E9" s="12">
        <f>C9*D9</f>
        <v>2340</v>
      </c>
      <c r="F9" s="12">
        <f>10700-2340</f>
        <v>8360</v>
      </c>
      <c r="G9" s="12">
        <v>1.25</v>
      </c>
      <c r="H9" s="12">
        <f t="shared" si="1"/>
        <v>10450</v>
      </c>
      <c r="I9" s="12">
        <f>2340+10450</f>
        <v>12790</v>
      </c>
      <c r="J9" s="16">
        <v>1270</v>
      </c>
      <c r="K9" s="8"/>
      <c r="L9" s="4"/>
      <c r="M9" s="4"/>
      <c r="N9" s="4"/>
      <c r="O9" s="4"/>
      <c r="P9" s="4"/>
      <c r="Q9" s="4"/>
      <c r="R9" s="4"/>
    </row>
    <row r="10" spans="2:18" ht="13.5">
      <c r="B10" s="12" t="s">
        <v>203</v>
      </c>
      <c r="C10" s="12">
        <v>2340</v>
      </c>
      <c r="D10" s="12">
        <v>1</v>
      </c>
      <c r="E10" s="12">
        <f>C10*D10</f>
        <v>2340</v>
      </c>
      <c r="F10" s="12">
        <f>11900-2340</f>
        <v>9560</v>
      </c>
      <c r="G10" s="12">
        <v>1.25</v>
      </c>
      <c r="H10" s="12">
        <f t="shared" si="1"/>
        <v>11950</v>
      </c>
      <c r="I10" s="12">
        <f>2340+11950</f>
        <v>14290</v>
      </c>
      <c r="J10" s="16">
        <v>1420</v>
      </c>
      <c r="K10" s="8"/>
      <c r="L10" s="4"/>
      <c r="M10" s="4"/>
      <c r="N10" s="4"/>
      <c r="O10" s="4"/>
      <c r="P10" s="4"/>
      <c r="Q10" s="4"/>
      <c r="R10" s="4"/>
    </row>
    <row r="11" spans="2:18" ht="13.5">
      <c r="B11" s="1" t="s">
        <v>192</v>
      </c>
      <c r="C11" s="1">
        <v>4070</v>
      </c>
      <c r="D11" s="1">
        <v>1</v>
      </c>
      <c r="E11" s="1">
        <f t="shared" si="0"/>
        <v>4070</v>
      </c>
      <c r="F11" s="1">
        <f>5900-4070</f>
        <v>1830</v>
      </c>
      <c r="G11" s="1">
        <v>1.25</v>
      </c>
      <c r="H11" s="1">
        <f t="shared" si="1"/>
        <v>2287.5</v>
      </c>
      <c r="I11" s="1">
        <f>4070+2280</f>
        <v>6350</v>
      </c>
      <c r="J11" s="5">
        <v>630</v>
      </c>
      <c r="K11" s="8"/>
      <c r="L11" s="4"/>
      <c r="M11" s="4"/>
      <c r="N11" s="4"/>
      <c r="O11" s="4"/>
      <c r="P11" s="4"/>
      <c r="Q11" s="4"/>
      <c r="R11" s="4"/>
    </row>
    <row r="12" spans="2:18" ht="13.5">
      <c r="B12" s="1" t="s">
        <v>193</v>
      </c>
      <c r="C12" s="1">
        <v>4070</v>
      </c>
      <c r="D12" s="1">
        <v>1</v>
      </c>
      <c r="E12" s="1">
        <f t="shared" si="0"/>
        <v>4070</v>
      </c>
      <c r="F12" s="1">
        <f>7100-4070</f>
        <v>3030</v>
      </c>
      <c r="G12" s="1">
        <v>1.25</v>
      </c>
      <c r="H12" s="1">
        <f t="shared" si="1"/>
        <v>3787.5</v>
      </c>
      <c r="I12" s="1">
        <f>4070+3780</f>
        <v>7850</v>
      </c>
      <c r="J12" s="5">
        <v>780</v>
      </c>
      <c r="K12" s="8"/>
      <c r="L12" s="4"/>
      <c r="M12" s="4"/>
      <c r="N12" s="4"/>
      <c r="O12" s="4"/>
      <c r="P12" s="4"/>
      <c r="Q12" s="4"/>
      <c r="R12" s="4"/>
    </row>
    <row r="13" spans="2:18" ht="13.5">
      <c r="B13" s="1" t="s">
        <v>194</v>
      </c>
      <c r="C13" s="1">
        <v>4070</v>
      </c>
      <c r="D13" s="1">
        <v>1</v>
      </c>
      <c r="E13" s="1">
        <f t="shared" si="0"/>
        <v>4070</v>
      </c>
      <c r="F13" s="1">
        <f>8300-4070</f>
        <v>4230</v>
      </c>
      <c r="G13" s="1">
        <v>1.25</v>
      </c>
      <c r="H13" s="1">
        <f t="shared" si="1"/>
        <v>5287.5</v>
      </c>
      <c r="I13" s="1">
        <f>4070+5280</f>
        <v>9350</v>
      </c>
      <c r="J13" s="5">
        <v>930</v>
      </c>
      <c r="K13" s="8"/>
      <c r="L13" s="4"/>
      <c r="M13" s="4"/>
      <c r="N13" s="4"/>
      <c r="O13" s="4"/>
      <c r="P13" s="4"/>
      <c r="Q13" s="4"/>
      <c r="R13" s="4"/>
    </row>
    <row r="14" spans="2:18" ht="13.5">
      <c r="B14" s="1" t="s">
        <v>195</v>
      </c>
      <c r="C14" s="1">
        <v>4070</v>
      </c>
      <c r="D14" s="1">
        <v>1</v>
      </c>
      <c r="E14" s="1">
        <f t="shared" si="0"/>
        <v>4070</v>
      </c>
      <c r="F14" s="1">
        <f>9500-4070</f>
        <v>5430</v>
      </c>
      <c r="G14" s="1">
        <v>1.25</v>
      </c>
      <c r="H14" s="1">
        <f t="shared" si="1"/>
        <v>6787.5</v>
      </c>
      <c r="I14" s="1">
        <f>4070+6780</f>
        <v>10850</v>
      </c>
      <c r="J14" s="5">
        <v>1080</v>
      </c>
      <c r="K14" s="8"/>
      <c r="L14" s="4"/>
      <c r="M14" s="4"/>
      <c r="N14" s="4"/>
      <c r="O14" s="4"/>
      <c r="P14" s="4"/>
      <c r="Q14" s="4"/>
      <c r="R14" s="4"/>
    </row>
    <row r="15" spans="2:18" ht="13.5">
      <c r="B15" s="1" t="s">
        <v>205</v>
      </c>
      <c r="C15" s="1">
        <v>4070</v>
      </c>
      <c r="D15" s="1">
        <v>1</v>
      </c>
      <c r="E15" s="1">
        <f>C15*D15</f>
        <v>4070</v>
      </c>
      <c r="F15" s="1">
        <f>10700-4070</f>
        <v>6630</v>
      </c>
      <c r="G15" s="1">
        <v>1.25</v>
      </c>
      <c r="H15" s="1">
        <f t="shared" si="1"/>
        <v>8287.5</v>
      </c>
      <c r="I15" s="1">
        <f>4070+8280</f>
        <v>12350</v>
      </c>
      <c r="J15" s="5">
        <v>1230</v>
      </c>
      <c r="K15" s="8"/>
      <c r="L15" s="4"/>
      <c r="M15" s="4"/>
      <c r="N15" s="4"/>
      <c r="O15" s="4"/>
      <c r="P15" s="4"/>
      <c r="Q15" s="4"/>
      <c r="R15" s="4"/>
    </row>
    <row r="16" spans="2:18" ht="13.5">
      <c r="B16" s="1" t="s">
        <v>204</v>
      </c>
      <c r="C16" s="1">
        <v>4070</v>
      </c>
      <c r="D16" s="1">
        <v>1</v>
      </c>
      <c r="E16" s="1">
        <f>C16*D16</f>
        <v>4070</v>
      </c>
      <c r="F16" s="1">
        <f>11900-4070</f>
        <v>7830</v>
      </c>
      <c r="G16" s="1">
        <v>1.25</v>
      </c>
      <c r="H16" s="1">
        <f t="shared" si="1"/>
        <v>9787.5</v>
      </c>
      <c r="I16" s="1">
        <f>4070+9780</f>
        <v>13850</v>
      </c>
      <c r="J16" s="5">
        <v>1380</v>
      </c>
      <c r="K16" s="8"/>
      <c r="L16" s="4"/>
      <c r="M16" s="4"/>
      <c r="N16" s="4"/>
      <c r="O16" s="4"/>
      <c r="P16" s="4"/>
      <c r="Q16" s="4"/>
      <c r="R16" s="4"/>
    </row>
    <row r="17" spans="2:18" ht="13.5">
      <c r="B17" s="11" t="s">
        <v>196</v>
      </c>
      <c r="C17" s="11">
        <v>5900</v>
      </c>
      <c r="D17" s="11">
        <v>1</v>
      </c>
      <c r="E17" s="11">
        <f t="shared" si="0"/>
        <v>5900</v>
      </c>
      <c r="F17" s="11">
        <f>7100-5900</f>
        <v>1200</v>
      </c>
      <c r="G17" s="11">
        <v>1.25</v>
      </c>
      <c r="H17" s="11">
        <f t="shared" si="1"/>
        <v>1500</v>
      </c>
      <c r="I17" s="11">
        <f>5900+1500</f>
        <v>7400</v>
      </c>
      <c r="J17" s="17">
        <v>740</v>
      </c>
      <c r="K17" s="8"/>
      <c r="L17" s="4"/>
      <c r="M17" s="4"/>
      <c r="N17" s="4"/>
      <c r="O17" s="4"/>
      <c r="P17" s="4"/>
      <c r="Q17" s="4"/>
      <c r="R17" s="4"/>
    </row>
    <row r="18" spans="2:18" ht="13.5">
      <c r="B18" s="11" t="s">
        <v>197</v>
      </c>
      <c r="C18" s="11">
        <v>5900</v>
      </c>
      <c r="D18" s="11">
        <v>1</v>
      </c>
      <c r="E18" s="11">
        <f t="shared" si="0"/>
        <v>5900</v>
      </c>
      <c r="F18" s="11">
        <f>8300-5900</f>
        <v>2400</v>
      </c>
      <c r="G18" s="11">
        <v>1.25</v>
      </c>
      <c r="H18" s="11">
        <f t="shared" si="1"/>
        <v>3000</v>
      </c>
      <c r="I18" s="11">
        <f>5900+3000</f>
        <v>8900</v>
      </c>
      <c r="J18" s="17">
        <v>890</v>
      </c>
      <c r="K18" s="8"/>
      <c r="L18" s="4"/>
      <c r="M18" s="4"/>
      <c r="N18" s="4"/>
      <c r="O18" s="4"/>
      <c r="P18" s="4"/>
      <c r="Q18" s="4"/>
      <c r="R18" s="4"/>
    </row>
    <row r="19" spans="2:18" ht="13.5">
      <c r="B19" s="11" t="s">
        <v>198</v>
      </c>
      <c r="C19" s="11">
        <v>5900</v>
      </c>
      <c r="D19" s="11">
        <v>1</v>
      </c>
      <c r="E19" s="11">
        <f t="shared" si="0"/>
        <v>5900</v>
      </c>
      <c r="F19" s="11">
        <f>9500-5900</f>
        <v>3600</v>
      </c>
      <c r="G19" s="11">
        <v>1.25</v>
      </c>
      <c r="H19" s="11">
        <f t="shared" si="1"/>
        <v>4500</v>
      </c>
      <c r="I19" s="11">
        <f>5900+4500</f>
        <v>10400</v>
      </c>
      <c r="J19" s="17">
        <v>1040</v>
      </c>
      <c r="K19" s="8"/>
      <c r="L19" s="4"/>
      <c r="M19" s="4"/>
      <c r="N19" s="4"/>
      <c r="O19" s="4"/>
      <c r="P19" s="4"/>
      <c r="Q19" s="4"/>
      <c r="R19" s="4"/>
    </row>
    <row r="20" spans="2:18" ht="13.5">
      <c r="B20" s="11" t="s">
        <v>206</v>
      </c>
      <c r="C20" s="11">
        <v>5900</v>
      </c>
      <c r="D20" s="11">
        <v>1</v>
      </c>
      <c r="E20" s="11">
        <f>C20*D20</f>
        <v>5900</v>
      </c>
      <c r="F20" s="11">
        <f>10700-5900</f>
        <v>4800</v>
      </c>
      <c r="G20" s="11">
        <v>1.25</v>
      </c>
      <c r="H20" s="11">
        <f t="shared" si="1"/>
        <v>6000</v>
      </c>
      <c r="I20" s="11">
        <f>5900+6000</f>
        <v>11900</v>
      </c>
      <c r="J20" s="17">
        <v>1190</v>
      </c>
      <c r="K20" s="8"/>
      <c r="L20" s="4"/>
      <c r="M20" s="4"/>
      <c r="N20" s="4"/>
      <c r="O20" s="4"/>
      <c r="P20" s="4"/>
      <c r="Q20" s="4"/>
      <c r="R20" s="4"/>
    </row>
    <row r="21" spans="2:18" ht="13.5">
      <c r="B21" s="11" t="s">
        <v>207</v>
      </c>
      <c r="C21" s="11">
        <v>5900</v>
      </c>
      <c r="D21" s="11">
        <v>1</v>
      </c>
      <c r="E21" s="11">
        <f>C21*D21</f>
        <v>5900</v>
      </c>
      <c r="F21" s="11">
        <f>11900-5900</f>
        <v>6000</v>
      </c>
      <c r="G21" s="11">
        <v>1.25</v>
      </c>
      <c r="H21" s="11">
        <f t="shared" si="1"/>
        <v>7500</v>
      </c>
      <c r="I21" s="11">
        <f>5900+7500</f>
        <v>13400</v>
      </c>
      <c r="J21" s="17">
        <v>1340</v>
      </c>
      <c r="K21" s="8"/>
      <c r="L21" s="4"/>
      <c r="M21" s="4"/>
      <c r="N21" s="4"/>
      <c r="O21" s="4"/>
      <c r="P21" s="4"/>
      <c r="Q21" s="4"/>
      <c r="R21" s="4"/>
    </row>
    <row r="22" spans="2:18" ht="13.5">
      <c r="B22" s="1" t="s">
        <v>199</v>
      </c>
      <c r="C22" s="1">
        <v>7100</v>
      </c>
      <c r="D22" s="1">
        <v>1</v>
      </c>
      <c r="E22" s="1">
        <f t="shared" si="0"/>
        <v>7100</v>
      </c>
      <c r="F22" s="1">
        <f>8300-7100</f>
        <v>1200</v>
      </c>
      <c r="G22" s="1">
        <v>1.25</v>
      </c>
      <c r="H22" s="1">
        <f t="shared" si="1"/>
        <v>1500</v>
      </c>
      <c r="I22" s="1">
        <f>7100+1500</f>
        <v>8600</v>
      </c>
      <c r="J22" s="5">
        <v>860</v>
      </c>
      <c r="K22" s="8"/>
      <c r="L22" s="4"/>
      <c r="M22" s="4"/>
      <c r="N22" s="4"/>
      <c r="O22" s="4"/>
      <c r="P22" s="4"/>
      <c r="Q22" s="4"/>
      <c r="R22" s="4"/>
    </row>
    <row r="23" spans="2:18" ht="13.5">
      <c r="B23" s="1" t="s">
        <v>200</v>
      </c>
      <c r="C23" s="1">
        <v>7100</v>
      </c>
      <c r="D23" s="1">
        <v>1</v>
      </c>
      <c r="E23" s="1">
        <f t="shared" si="0"/>
        <v>7100</v>
      </c>
      <c r="F23" s="1">
        <f>9500-7100</f>
        <v>2400</v>
      </c>
      <c r="G23" s="1">
        <v>1.25</v>
      </c>
      <c r="H23" s="1">
        <f t="shared" si="1"/>
        <v>3000</v>
      </c>
      <c r="I23" s="1">
        <f>7100+3000</f>
        <v>10100</v>
      </c>
      <c r="J23" s="5">
        <v>1010</v>
      </c>
      <c r="K23" s="8"/>
      <c r="L23" s="4"/>
      <c r="M23" s="4"/>
      <c r="N23" s="4"/>
      <c r="O23" s="4"/>
      <c r="P23" s="4"/>
      <c r="Q23" s="4"/>
      <c r="R23" s="4"/>
    </row>
    <row r="24" spans="2:18" ht="13.5">
      <c r="B24" s="1" t="s">
        <v>209</v>
      </c>
      <c r="C24" s="1">
        <v>7100</v>
      </c>
      <c r="D24" s="1">
        <v>1</v>
      </c>
      <c r="E24" s="1">
        <f>C24*D24</f>
        <v>7100</v>
      </c>
      <c r="F24" s="1">
        <f>10700-7100</f>
        <v>3600</v>
      </c>
      <c r="G24" s="1">
        <v>1.25</v>
      </c>
      <c r="H24" s="1">
        <f t="shared" si="1"/>
        <v>4500</v>
      </c>
      <c r="I24" s="1">
        <f>7100+4500</f>
        <v>11600</v>
      </c>
      <c r="J24" s="5">
        <v>1160</v>
      </c>
      <c r="K24" s="8"/>
      <c r="L24" s="4"/>
      <c r="M24" s="4"/>
      <c r="N24" s="4"/>
      <c r="O24" s="4"/>
      <c r="P24" s="4"/>
      <c r="Q24" s="4"/>
      <c r="R24" s="4"/>
    </row>
    <row r="25" spans="2:18" ht="13.5">
      <c r="B25" s="1" t="s">
        <v>208</v>
      </c>
      <c r="C25" s="1">
        <v>7100</v>
      </c>
      <c r="D25" s="1">
        <v>1</v>
      </c>
      <c r="E25" s="1">
        <f>C25*D25</f>
        <v>7100</v>
      </c>
      <c r="F25" s="1">
        <f>11900-7100</f>
        <v>4800</v>
      </c>
      <c r="G25" s="1">
        <v>1.25</v>
      </c>
      <c r="H25" s="1">
        <f t="shared" si="1"/>
        <v>6000</v>
      </c>
      <c r="I25" s="1">
        <f>7100+6000</f>
        <v>13100</v>
      </c>
      <c r="J25" s="5">
        <v>1310</v>
      </c>
      <c r="K25" s="8"/>
      <c r="L25" s="4"/>
      <c r="M25" s="4"/>
      <c r="N25" s="4"/>
      <c r="O25" s="4"/>
      <c r="P25" s="4"/>
      <c r="Q25" s="4"/>
      <c r="R25" s="4"/>
    </row>
    <row r="26" spans="2:18" ht="13.5">
      <c r="B26" s="18" t="s">
        <v>201</v>
      </c>
      <c r="C26" s="18">
        <v>8300</v>
      </c>
      <c r="D26" s="18">
        <v>1</v>
      </c>
      <c r="E26" s="18">
        <f t="shared" si="0"/>
        <v>8300</v>
      </c>
      <c r="F26" s="18">
        <f>9500-8300</f>
        <v>1200</v>
      </c>
      <c r="G26" s="18">
        <v>1.25</v>
      </c>
      <c r="H26" s="18">
        <f t="shared" si="1"/>
        <v>1500</v>
      </c>
      <c r="I26" s="18">
        <f>8300+1500</f>
        <v>9800</v>
      </c>
      <c r="J26" s="19">
        <v>980</v>
      </c>
      <c r="K26" s="8"/>
      <c r="L26" s="4"/>
      <c r="M26" s="4"/>
      <c r="N26" s="4"/>
      <c r="O26" s="4"/>
      <c r="P26" s="4"/>
      <c r="Q26" s="4"/>
      <c r="R26" s="4"/>
    </row>
    <row r="27" spans="2:18" ht="13.5">
      <c r="B27" s="18" t="s">
        <v>234</v>
      </c>
      <c r="C27" s="18">
        <v>8300</v>
      </c>
      <c r="D27" s="18">
        <v>1</v>
      </c>
      <c r="E27" s="18">
        <f t="shared" si="0"/>
        <v>8300</v>
      </c>
      <c r="F27" s="18">
        <f>10700-8300</f>
        <v>2400</v>
      </c>
      <c r="G27" s="18">
        <v>1.25</v>
      </c>
      <c r="H27" s="18">
        <f t="shared" si="1"/>
        <v>3000</v>
      </c>
      <c r="I27" s="18">
        <f>8300+3000</f>
        <v>11300</v>
      </c>
      <c r="J27" s="18">
        <v>1130</v>
      </c>
      <c r="L27" s="4"/>
      <c r="M27" s="4"/>
      <c r="N27" s="4"/>
      <c r="O27" s="4"/>
      <c r="P27" s="4"/>
      <c r="Q27" s="4"/>
      <c r="R27" s="4"/>
    </row>
    <row r="28" spans="2:18" ht="13.5">
      <c r="B28" s="18" t="s">
        <v>235</v>
      </c>
      <c r="C28" s="18">
        <v>8300</v>
      </c>
      <c r="D28" s="18">
        <v>1</v>
      </c>
      <c r="E28" s="18">
        <f t="shared" si="0"/>
        <v>8300</v>
      </c>
      <c r="F28" s="18">
        <f>11900-8300</f>
        <v>3600</v>
      </c>
      <c r="G28" s="18">
        <v>1.25</v>
      </c>
      <c r="H28" s="18">
        <f t="shared" si="1"/>
        <v>4500</v>
      </c>
      <c r="I28" s="18">
        <f>8300+4500</f>
        <v>12800</v>
      </c>
      <c r="J28" s="18">
        <v>1280</v>
      </c>
      <c r="L28" s="4"/>
      <c r="M28" s="4"/>
      <c r="N28" s="4"/>
      <c r="O28" s="4"/>
      <c r="P28" s="4"/>
      <c r="Q28" s="4"/>
      <c r="R28" s="4"/>
    </row>
    <row r="29" spans="2:10" ht="13.5">
      <c r="B29" s="1" t="s">
        <v>231</v>
      </c>
      <c r="C29" s="3">
        <v>9500</v>
      </c>
      <c r="D29" s="1">
        <v>1</v>
      </c>
      <c r="E29" s="1">
        <f t="shared" si="0"/>
        <v>9500</v>
      </c>
      <c r="F29" s="1">
        <f>10700-9500</f>
        <v>1200</v>
      </c>
      <c r="G29" s="1">
        <v>1.25</v>
      </c>
      <c r="H29" s="1">
        <f t="shared" si="1"/>
        <v>1500</v>
      </c>
      <c r="I29" s="1">
        <f>9500+1500</f>
        <v>11000</v>
      </c>
      <c r="J29" s="1">
        <v>1100</v>
      </c>
    </row>
    <row r="30" spans="2:10" ht="13.5">
      <c r="B30" s="1" t="s">
        <v>232</v>
      </c>
      <c r="C30" s="3">
        <v>9500</v>
      </c>
      <c r="D30" s="1">
        <v>1</v>
      </c>
      <c r="E30" s="1">
        <f t="shared" si="0"/>
        <v>9500</v>
      </c>
      <c r="F30" s="1">
        <f>11900-9500</f>
        <v>2400</v>
      </c>
      <c r="G30" s="1">
        <v>1.25</v>
      </c>
      <c r="H30" s="1">
        <f t="shared" si="1"/>
        <v>3000</v>
      </c>
      <c r="I30" s="1">
        <f>9500+3000</f>
        <v>12500</v>
      </c>
      <c r="J30" s="1">
        <v>1250</v>
      </c>
    </row>
    <row r="31" spans="2:10" ht="13.5">
      <c r="B31" s="14" t="s">
        <v>233</v>
      </c>
      <c r="C31" s="14">
        <v>10700</v>
      </c>
      <c r="D31" s="14">
        <v>1</v>
      </c>
      <c r="E31" s="14">
        <f t="shared" si="0"/>
        <v>10700</v>
      </c>
      <c r="F31" s="14">
        <f>11900-10700</f>
        <v>1200</v>
      </c>
      <c r="G31" s="14">
        <v>1.25</v>
      </c>
      <c r="H31" s="14">
        <f t="shared" si="1"/>
        <v>1500</v>
      </c>
      <c r="I31" s="14">
        <f>10700+1500</f>
        <v>12200</v>
      </c>
      <c r="J31" s="14">
        <v>1220</v>
      </c>
    </row>
  </sheetData>
  <sheetProtection/>
  <printOptions/>
  <pageMargins left="0.75" right="0.75" top="1" bottom="1" header="0.512" footer="0.51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18.125" style="0" customWidth="1"/>
    <col min="4" max="4" width="7.75390625" style="0" customWidth="1"/>
    <col min="6" max="6" width="13.25390625" style="0" customWidth="1"/>
    <col min="7" max="7" width="7.25390625" style="0" customWidth="1"/>
    <col min="8" max="8" width="7.50390625" style="0" customWidth="1"/>
    <col min="9" max="9" width="16.75390625" style="0" customWidth="1"/>
    <col min="10" max="10" width="11.375" style="0" customWidth="1"/>
    <col min="12" max="12" width="21.50390625" style="0" customWidth="1"/>
    <col min="13" max="13" width="7.75390625" style="0" customWidth="1"/>
    <col min="14" max="14" width="9.125" style="0" customWidth="1"/>
    <col min="15" max="15" width="8.125" style="0" customWidth="1"/>
    <col min="16" max="16" width="13.25390625" style="0" customWidth="1"/>
    <col min="18" max="18" width="7.25390625" style="0" customWidth="1"/>
    <col min="19" max="19" width="16.375" style="0" customWidth="1"/>
    <col min="20" max="20" width="11.25390625" style="0" customWidth="1"/>
  </cols>
  <sheetData>
    <row r="1" spans="1:2" ht="13.5">
      <c r="A1" s="1" t="s">
        <v>0</v>
      </c>
      <c r="B1" s="1"/>
    </row>
    <row r="2" spans="1:20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54</v>
      </c>
      <c r="L2" s="1"/>
      <c r="M2" s="1"/>
      <c r="N2" s="1"/>
      <c r="O2" s="1"/>
      <c r="P2" s="1"/>
      <c r="Q2" s="1"/>
      <c r="R2" s="1"/>
      <c r="S2" s="1"/>
      <c r="T2" s="1"/>
    </row>
    <row r="3" spans="2:20" ht="13.5">
      <c r="B3" s="1" t="s">
        <v>3</v>
      </c>
      <c r="C3" s="1" t="s">
        <v>106</v>
      </c>
      <c r="D3" s="1" t="s">
        <v>119</v>
      </c>
      <c r="E3" s="1" t="s">
        <v>121</v>
      </c>
      <c r="F3" s="1" t="s">
        <v>123</v>
      </c>
      <c r="G3" s="1" t="s">
        <v>119</v>
      </c>
      <c r="H3" s="1" t="s">
        <v>122</v>
      </c>
      <c r="I3" s="1" t="s">
        <v>324</v>
      </c>
      <c r="J3" s="1" t="s">
        <v>103</v>
      </c>
      <c r="K3" s="7"/>
      <c r="L3" s="1" t="s">
        <v>3</v>
      </c>
      <c r="M3" s="1" t="s">
        <v>106</v>
      </c>
      <c r="N3" s="1" t="s">
        <v>119</v>
      </c>
      <c r="O3" s="1" t="s">
        <v>121</v>
      </c>
      <c r="P3" s="1" t="s">
        <v>123</v>
      </c>
      <c r="Q3" s="1" t="s">
        <v>119</v>
      </c>
      <c r="R3" s="1" t="s">
        <v>122</v>
      </c>
      <c r="S3" s="1" t="s">
        <v>324</v>
      </c>
      <c r="T3" s="1" t="s">
        <v>103</v>
      </c>
    </row>
    <row r="4" spans="2:20" ht="13.5">
      <c r="B4" s="12" t="s">
        <v>236</v>
      </c>
      <c r="C4" s="12">
        <v>2340</v>
      </c>
      <c r="D4" s="12">
        <v>1.25</v>
      </c>
      <c r="E4" s="12">
        <f>C4*D4</f>
        <v>2925</v>
      </c>
      <c r="F4" s="12">
        <f>4070-2340</f>
        <v>1730</v>
      </c>
      <c r="G4" s="12">
        <v>1.5</v>
      </c>
      <c r="H4" s="12">
        <f>F4*G4</f>
        <v>2595</v>
      </c>
      <c r="I4" s="12">
        <f>2925+2595</f>
        <v>5520</v>
      </c>
      <c r="J4" s="12">
        <v>550</v>
      </c>
      <c r="K4" s="8"/>
      <c r="L4" s="1" t="s">
        <v>269</v>
      </c>
      <c r="M4" s="1">
        <v>810</v>
      </c>
      <c r="N4" s="1">
        <v>1.25</v>
      </c>
      <c r="O4" s="1">
        <f>M4*N4</f>
        <v>1012.5</v>
      </c>
      <c r="P4" s="1">
        <f>1530-810</f>
        <v>720</v>
      </c>
      <c r="Q4" s="1">
        <v>1.5</v>
      </c>
      <c r="R4" s="1">
        <f>P4*Q4</f>
        <v>1080</v>
      </c>
      <c r="S4" s="1">
        <f>1010+1080</f>
        <v>2090</v>
      </c>
      <c r="T4" s="1">
        <v>200</v>
      </c>
    </row>
    <row r="5" spans="2:23" ht="13.5">
      <c r="B5" s="12" t="s">
        <v>237</v>
      </c>
      <c r="C5" s="12">
        <v>2340</v>
      </c>
      <c r="D5" s="12">
        <v>1.25</v>
      </c>
      <c r="E5" s="12">
        <f aca="true" t="shared" si="0" ref="E5:E31">C5*D5</f>
        <v>2925</v>
      </c>
      <c r="F5" s="12">
        <f>5900-2340</f>
        <v>3560</v>
      </c>
      <c r="G5" s="12">
        <v>1.5</v>
      </c>
      <c r="H5" s="12">
        <f aca="true" t="shared" si="1" ref="H5:H31">F5*G5</f>
        <v>5340</v>
      </c>
      <c r="I5" s="12">
        <f>2925+5340</f>
        <v>8265</v>
      </c>
      <c r="J5" s="16">
        <v>820</v>
      </c>
      <c r="K5" s="8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3.5">
      <c r="B6" s="12" t="s">
        <v>238</v>
      </c>
      <c r="C6" s="12">
        <v>2340</v>
      </c>
      <c r="D6" s="12">
        <v>1.25</v>
      </c>
      <c r="E6" s="12">
        <f t="shared" si="0"/>
        <v>2925</v>
      </c>
      <c r="F6" s="12">
        <f>7100-2340</f>
        <v>4760</v>
      </c>
      <c r="G6" s="12">
        <v>1.5</v>
      </c>
      <c r="H6" s="12">
        <f t="shared" si="1"/>
        <v>7140</v>
      </c>
      <c r="I6" s="12">
        <f>2920+7140</f>
        <v>10060</v>
      </c>
      <c r="J6" s="16">
        <v>1000</v>
      </c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3.5">
      <c r="B7" s="12" t="s">
        <v>239</v>
      </c>
      <c r="C7" s="12">
        <v>2340</v>
      </c>
      <c r="D7" s="12">
        <v>1.25</v>
      </c>
      <c r="E7" s="12">
        <f t="shared" si="0"/>
        <v>2925</v>
      </c>
      <c r="F7" s="12">
        <f>8300-2340</f>
        <v>5960</v>
      </c>
      <c r="G7" s="12">
        <v>1.5</v>
      </c>
      <c r="H7" s="12">
        <f t="shared" si="1"/>
        <v>8940</v>
      </c>
      <c r="I7" s="12">
        <f>2920+8940</f>
        <v>11860</v>
      </c>
      <c r="J7" s="16">
        <v>1180</v>
      </c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3.5">
      <c r="B8" s="12" t="s">
        <v>240</v>
      </c>
      <c r="C8" s="12">
        <v>2340</v>
      </c>
      <c r="D8" s="12">
        <v>1.25</v>
      </c>
      <c r="E8" s="12">
        <f t="shared" si="0"/>
        <v>2925</v>
      </c>
      <c r="F8" s="12">
        <f>9500-2340</f>
        <v>7160</v>
      </c>
      <c r="G8" s="12">
        <v>1.5</v>
      </c>
      <c r="H8" s="12">
        <f t="shared" si="1"/>
        <v>10740</v>
      </c>
      <c r="I8" s="12">
        <f>2920+10740</f>
        <v>13660</v>
      </c>
      <c r="J8" s="16">
        <v>1360</v>
      </c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3.5">
      <c r="B9" s="12" t="s">
        <v>241</v>
      </c>
      <c r="C9" s="12">
        <v>2340</v>
      </c>
      <c r="D9" s="12">
        <v>1.25</v>
      </c>
      <c r="E9" s="12">
        <f t="shared" si="0"/>
        <v>2925</v>
      </c>
      <c r="F9" s="12">
        <f>10700-2340</f>
        <v>8360</v>
      </c>
      <c r="G9" s="12">
        <v>1.5</v>
      </c>
      <c r="H9" s="12">
        <f t="shared" si="1"/>
        <v>12540</v>
      </c>
      <c r="I9" s="12">
        <f>2920+12540</f>
        <v>15460</v>
      </c>
      <c r="J9" s="16">
        <v>1540</v>
      </c>
      <c r="K9" s="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3.5">
      <c r="B10" s="12" t="s">
        <v>242</v>
      </c>
      <c r="C10" s="12">
        <v>2340</v>
      </c>
      <c r="D10" s="12">
        <v>1.25</v>
      </c>
      <c r="E10" s="12">
        <f t="shared" si="0"/>
        <v>2925</v>
      </c>
      <c r="F10" s="12">
        <f>11900-2340</f>
        <v>9560</v>
      </c>
      <c r="G10" s="12">
        <v>1.5</v>
      </c>
      <c r="H10" s="12">
        <f t="shared" si="1"/>
        <v>14340</v>
      </c>
      <c r="I10" s="12">
        <f>2920+14340</f>
        <v>17260</v>
      </c>
      <c r="J10" s="16">
        <v>1720</v>
      </c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13.5">
      <c r="B11" s="1" t="s">
        <v>243</v>
      </c>
      <c r="C11" s="1">
        <v>4070</v>
      </c>
      <c r="D11" s="1">
        <v>1.25</v>
      </c>
      <c r="E11" s="1">
        <f t="shared" si="0"/>
        <v>5087.5</v>
      </c>
      <c r="F11" s="1">
        <f>5900-4070</f>
        <v>1830</v>
      </c>
      <c r="G11" s="1">
        <v>1.5</v>
      </c>
      <c r="H11" s="1">
        <f t="shared" si="1"/>
        <v>2745</v>
      </c>
      <c r="I11" s="1">
        <f>5085+2745</f>
        <v>7830</v>
      </c>
      <c r="J11" s="5">
        <v>780</v>
      </c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13.5">
      <c r="B12" s="1" t="s">
        <v>244</v>
      </c>
      <c r="C12" s="1">
        <v>4070</v>
      </c>
      <c r="D12" s="1">
        <v>1.25</v>
      </c>
      <c r="E12" s="1">
        <f t="shared" si="0"/>
        <v>5087.5</v>
      </c>
      <c r="F12" s="1">
        <f>7100-4070</f>
        <v>3030</v>
      </c>
      <c r="G12" s="1">
        <v>1.5</v>
      </c>
      <c r="H12" s="1">
        <f t="shared" si="1"/>
        <v>4545</v>
      </c>
      <c r="I12" s="1">
        <f>5085+4545</f>
        <v>9630</v>
      </c>
      <c r="J12" s="5">
        <v>960</v>
      </c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13.5">
      <c r="B13" s="1" t="s">
        <v>245</v>
      </c>
      <c r="C13" s="1">
        <v>4070</v>
      </c>
      <c r="D13" s="1">
        <v>1.25</v>
      </c>
      <c r="E13" s="1">
        <f t="shared" si="0"/>
        <v>5087.5</v>
      </c>
      <c r="F13" s="1">
        <f>8300-4070</f>
        <v>4230</v>
      </c>
      <c r="G13" s="1">
        <v>1.5</v>
      </c>
      <c r="H13" s="1">
        <f t="shared" si="1"/>
        <v>6345</v>
      </c>
      <c r="I13" s="1">
        <f>5085+6345</f>
        <v>11430</v>
      </c>
      <c r="J13" s="5">
        <v>1140</v>
      </c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3.5">
      <c r="B14" s="1" t="s">
        <v>246</v>
      </c>
      <c r="C14" s="1">
        <v>4070</v>
      </c>
      <c r="D14" s="1">
        <v>1.25</v>
      </c>
      <c r="E14" s="1">
        <f t="shared" si="0"/>
        <v>5087.5</v>
      </c>
      <c r="F14" s="1">
        <f>9500-4070</f>
        <v>5430</v>
      </c>
      <c r="G14" s="1">
        <v>1.5</v>
      </c>
      <c r="H14" s="1">
        <f t="shared" si="1"/>
        <v>8145</v>
      </c>
      <c r="I14" s="1">
        <f>5085+8145</f>
        <v>13230</v>
      </c>
      <c r="J14" s="5">
        <v>1320</v>
      </c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3.5">
      <c r="B15" s="1" t="s">
        <v>247</v>
      </c>
      <c r="C15" s="1">
        <v>4070</v>
      </c>
      <c r="D15" s="1">
        <v>1.25</v>
      </c>
      <c r="E15" s="1">
        <f t="shared" si="0"/>
        <v>5087.5</v>
      </c>
      <c r="F15" s="1">
        <f>10700-4070</f>
        <v>6630</v>
      </c>
      <c r="G15" s="1">
        <v>1.5</v>
      </c>
      <c r="H15" s="1">
        <f t="shared" si="1"/>
        <v>9945</v>
      </c>
      <c r="I15" s="1">
        <f>5085+9945</f>
        <v>15030</v>
      </c>
      <c r="J15" s="5">
        <v>1500</v>
      </c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ht="13.5">
      <c r="B16" s="1" t="s">
        <v>248</v>
      </c>
      <c r="C16" s="1">
        <v>4070</v>
      </c>
      <c r="D16" s="1">
        <v>1.25</v>
      </c>
      <c r="E16" s="1">
        <f t="shared" si="0"/>
        <v>5087.5</v>
      </c>
      <c r="F16" s="1">
        <f>11900-4070</f>
        <v>7830</v>
      </c>
      <c r="G16" s="1">
        <v>1.5</v>
      </c>
      <c r="H16" s="1">
        <f t="shared" si="1"/>
        <v>11745</v>
      </c>
      <c r="I16" s="1">
        <f>5085+11745</f>
        <v>16830</v>
      </c>
      <c r="J16" s="5">
        <v>1680</v>
      </c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13.5">
      <c r="B17" s="11" t="s">
        <v>249</v>
      </c>
      <c r="C17" s="11">
        <v>5900</v>
      </c>
      <c r="D17" s="11">
        <v>1.25</v>
      </c>
      <c r="E17" s="11">
        <f t="shared" si="0"/>
        <v>7375</v>
      </c>
      <c r="F17" s="11">
        <f>7100-5900</f>
        <v>1200</v>
      </c>
      <c r="G17" s="11">
        <v>1.5</v>
      </c>
      <c r="H17" s="11">
        <f t="shared" si="1"/>
        <v>1800</v>
      </c>
      <c r="I17" s="11">
        <f>7370+1800</f>
        <v>9170</v>
      </c>
      <c r="J17" s="17">
        <v>910</v>
      </c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13.5">
      <c r="B18" s="11" t="s">
        <v>250</v>
      </c>
      <c r="C18" s="11">
        <v>5900</v>
      </c>
      <c r="D18" s="11">
        <v>1.25</v>
      </c>
      <c r="E18" s="11">
        <f t="shared" si="0"/>
        <v>7375</v>
      </c>
      <c r="F18" s="11">
        <f>8300-5900</f>
        <v>2400</v>
      </c>
      <c r="G18" s="11">
        <v>1.5</v>
      </c>
      <c r="H18" s="11">
        <f t="shared" si="1"/>
        <v>3600</v>
      </c>
      <c r="I18" s="11">
        <f>7370+3600</f>
        <v>10970</v>
      </c>
      <c r="J18" s="17">
        <v>1090</v>
      </c>
      <c r="K18" s="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3.5">
      <c r="B19" s="11" t="s">
        <v>251</v>
      </c>
      <c r="C19" s="11">
        <v>5900</v>
      </c>
      <c r="D19" s="11">
        <v>1.25</v>
      </c>
      <c r="E19" s="11">
        <f t="shared" si="0"/>
        <v>7375</v>
      </c>
      <c r="F19" s="11">
        <f>9500-5900</f>
        <v>3600</v>
      </c>
      <c r="G19" s="11">
        <v>1.5</v>
      </c>
      <c r="H19" s="11">
        <f t="shared" si="1"/>
        <v>5400</v>
      </c>
      <c r="I19" s="11">
        <f>7370+5400</f>
        <v>12770</v>
      </c>
      <c r="J19" s="17">
        <v>1270</v>
      </c>
      <c r="K19" s="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ht="13.5">
      <c r="B20" s="11" t="s">
        <v>252</v>
      </c>
      <c r="C20" s="11">
        <v>5900</v>
      </c>
      <c r="D20" s="11">
        <v>1.25</v>
      </c>
      <c r="E20" s="11">
        <f t="shared" si="0"/>
        <v>7375</v>
      </c>
      <c r="F20" s="11">
        <f>10700-5900</f>
        <v>4800</v>
      </c>
      <c r="G20" s="11">
        <v>1.5</v>
      </c>
      <c r="H20" s="11">
        <f t="shared" si="1"/>
        <v>7200</v>
      </c>
      <c r="I20" s="11">
        <f>7370+7200</f>
        <v>14570</v>
      </c>
      <c r="J20" s="17">
        <v>1450</v>
      </c>
      <c r="K20" s="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13.5">
      <c r="B21" s="11" t="s">
        <v>253</v>
      </c>
      <c r="C21" s="11">
        <v>5900</v>
      </c>
      <c r="D21" s="11">
        <v>1.25</v>
      </c>
      <c r="E21" s="11">
        <f t="shared" si="0"/>
        <v>7375</v>
      </c>
      <c r="F21" s="11">
        <f>11900-5900</f>
        <v>6000</v>
      </c>
      <c r="G21" s="11">
        <v>1.5</v>
      </c>
      <c r="H21" s="11">
        <f t="shared" si="1"/>
        <v>9000</v>
      </c>
      <c r="I21" s="11">
        <f>7370+9000</f>
        <v>16370</v>
      </c>
      <c r="J21" s="17">
        <v>1630</v>
      </c>
      <c r="K21" s="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3.5">
      <c r="B22" s="1" t="s">
        <v>254</v>
      </c>
      <c r="C22" s="1">
        <v>7100</v>
      </c>
      <c r="D22" s="1">
        <v>1.25</v>
      </c>
      <c r="E22" s="1">
        <f t="shared" si="0"/>
        <v>8875</v>
      </c>
      <c r="F22" s="1">
        <f>8300-7100</f>
        <v>1200</v>
      </c>
      <c r="G22" s="1">
        <v>1.5</v>
      </c>
      <c r="H22" s="1">
        <f t="shared" si="1"/>
        <v>1800</v>
      </c>
      <c r="I22" s="1">
        <f>8870+1800</f>
        <v>10670</v>
      </c>
      <c r="J22" s="5">
        <v>1060</v>
      </c>
      <c r="K22" s="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3.5">
      <c r="B23" s="1" t="s">
        <v>255</v>
      </c>
      <c r="C23" s="1">
        <v>7100</v>
      </c>
      <c r="D23" s="1">
        <v>1.25</v>
      </c>
      <c r="E23" s="1">
        <f t="shared" si="0"/>
        <v>8875</v>
      </c>
      <c r="F23" s="1">
        <f>9500-7100</f>
        <v>2400</v>
      </c>
      <c r="G23" s="1">
        <v>1.5</v>
      </c>
      <c r="H23" s="1">
        <f t="shared" si="1"/>
        <v>3600</v>
      </c>
      <c r="I23" s="1">
        <f>8870+3600</f>
        <v>12470</v>
      </c>
      <c r="J23" s="5">
        <v>1240</v>
      </c>
      <c r="K23" s="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ht="13.5">
      <c r="B24" s="1" t="s">
        <v>256</v>
      </c>
      <c r="C24" s="1">
        <v>7100</v>
      </c>
      <c r="D24" s="1">
        <v>1.25</v>
      </c>
      <c r="E24" s="1">
        <f t="shared" si="0"/>
        <v>8875</v>
      </c>
      <c r="F24" s="1">
        <f>10700-7100</f>
        <v>3600</v>
      </c>
      <c r="G24" s="1">
        <v>1.5</v>
      </c>
      <c r="H24" s="1">
        <f t="shared" si="1"/>
        <v>5400</v>
      </c>
      <c r="I24" s="1">
        <f>8870+5400</f>
        <v>14270</v>
      </c>
      <c r="J24" s="5">
        <v>1420</v>
      </c>
      <c r="K24" s="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ht="13.5">
      <c r="B25" s="1" t="s">
        <v>257</v>
      </c>
      <c r="C25" s="1">
        <v>7100</v>
      </c>
      <c r="D25" s="1">
        <v>1.25</v>
      </c>
      <c r="E25" s="1">
        <f t="shared" si="0"/>
        <v>8875</v>
      </c>
      <c r="F25" s="1">
        <f>11900-7100</f>
        <v>4800</v>
      </c>
      <c r="G25" s="1">
        <v>1.5</v>
      </c>
      <c r="H25" s="1">
        <f t="shared" si="1"/>
        <v>7200</v>
      </c>
      <c r="I25" s="1">
        <f>8870+7200</f>
        <v>16070</v>
      </c>
      <c r="J25" s="5">
        <v>1600</v>
      </c>
      <c r="K25" s="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ht="13.5">
      <c r="B26" s="18" t="s">
        <v>258</v>
      </c>
      <c r="C26" s="18">
        <v>8300</v>
      </c>
      <c r="D26" s="18">
        <v>1.25</v>
      </c>
      <c r="E26" s="18">
        <f t="shared" si="0"/>
        <v>10375</v>
      </c>
      <c r="F26" s="18">
        <f>9500-8300</f>
        <v>1200</v>
      </c>
      <c r="G26" s="18">
        <v>1.5</v>
      </c>
      <c r="H26" s="18">
        <f t="shared" si="1"/>
        <v>1800</v>
      </c>
      <c r="I26" s="18">
        <f>10370+1800</f>
        <v>12170</v>
      </c>
      <c r="J26" s="19">
        <v>1210</v>
      </c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ht="13.5">
      <c r="B27" s="18" t="s">
        <v>259</v>
      </c>
      <c r="C27" s="18">
        <v>8300</v>
      </c>
      <c r="D27" s="18">
        <v>1.25</v>
      </c>
      <c r="E27" s="18">
        <f t="shared" si="0"/>
        <v>10375</v>
      </c>
      <c r="F27" s="18">
        <f>10700-8300</f>
        <v>2400</v>
      </c>
      <c r="G27" s="18">
        <v>1.5</v>
      </c>
      <c r="H27" s="18">
        <f t="shared" si="1"/>
        <v>3600</v>
      </c>
      <c r="I27" s="18">
        <f>10370+3600</f>
        <v>13970</v>
      </c>
      <c r="J27" s="19">
        <v>1390</v>
      </c>
      <c r="K27" s="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3.5">
      <c r="B28" s="18" t="s">
        <v>260</v>
      </c>
      <c r="C28" s="18">
        <v>8300</v>
      </c>
      <c r="D28" s="18">
        <v>1.25</v>
      </c>
      <c r="E28" s="18">
        <f t="shared" si="0"/>
        <v>10375</v>
      </c>
      <c r="F28" s="18">
        <f>11900-8300</f>
        <v>3600</v>
      </c>
      <c r="G28" s="18">
        <v>1.5</v>
      </c>
      <c r="H28" s="18">
        <f t="shared" si="1"/>
        <v>5400</v>
      </c>
      <c r="I28" s="18">
        <f>10370+5400</f>
        <v>15770</v>
      </c>
      <c r="J28" s="19">
        <v>1570</v>
      </c>
      <c r="K28" s="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13.5">
      <c r="B29" s="3" t="s">
        <v>261</v>
      </c>
      <c r="C29" s="3">
        <v>9500</v>
      </c>
      <c r="D29" s="1">
        <v>1.25</v>
      </c>
      <c r="E29" s="3">
        <f t="shared" si="0"/>
        <v>11875</v>
      </c>
      <c r="F29" s="1">
        <f>10700-9500</f>
        <v>1200</v>
      </c>
      <c r="G29" s="1">
        <v>1.5</v>
      </c>
      <c r="H29" s="1">
        <f t="shared" si="1"/>
        <v>1800</v>
      </c>
      <c r="I29" s="1">
        <f>11870+1800</f>
        <v>13670</v>
      </c>
      <c r="J29" s="5">
        <v>1360</v>
      </c>
      <c r="K29" s="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3.5">
      <c r="B30" s="3" t="s">
        <v>262</v>
      </c>
      <c r="C30" s="3">
        <v>9500</v>
      </c>
      <c r="D30" s="1">
        <v>1.25</v>
      </c>
      <c r="E30" s="3">
        <f t="shared" si="0"/>
        <v>11875</v>
      </c>
      <c r="F30" s="1">
        <f>11900-9500</f>
        <v>2400</v>
      </c>
      <c r="G30" s="1">
        <v>1.5</v>
      </c>
      <c r="H30" s="1">
        <f t="shared" si="1"/>
        <v>3600</v>
      </c>
      <c r="I30" s="1">
        <f>11870+3600</f>
        <v>15470</v>
      </c>
      <c r="J30" s="1">
        <v>1540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3.5">
      <c r="B31" s="14" t="s">
        <v>263</v>
      </c>
      <c r="C31" s="14">
        <v>10700</v>
      </c>
      <c r="D31" s="14">
        <v>1.25</v>
      </c>
      <c r="E31" s="14">
        <f t="shared" si="0"/>
        <v>13375</v>
      </c>
      <c r="F31" s="14">
        <f>11900-10700</f>
        <v>1200</v>
      </c>
      <c r="G31" s="14">
        <v>1.5</v>
      </c>
      <c r="H31" s="14">
        <f t="shared" si="1"/>
        <v>1800</v>
      </c>
      <c r="I31" s="14">
        <f>13370+1800</f>
        <v>15170</v>
      </c>
      <c r="J31" s="14">
        <v>1510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1:23" ht="13.5"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1:23" ht="13.5"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1:23" ht="13.5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1:23" ht="13.5"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1:23" ht="13.5"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1:23" ht="13.5"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1:23" ht="13.5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1:23" ht="13.5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1:23" ht="13.5"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1:23" ht="13.5"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1:23" ht="13.5"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1:23" ht="13.5"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1:23" ht="13.5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1:23" ht="13.5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1:23" ht="13.5"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1:23" ht="13.5"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1:23" ht="13.5"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1:23" ht="13.5"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1:23" ht="13.5"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1:23" ht="13.5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1:23" ht="13.5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1:23" ht="13.5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1:23" ht="13.5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1:23" ht="13.5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1:23" ht="13.5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1:23" ht="13.5"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1:23" ht="13.5"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1:23" ht="13.5"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1:23" ht="13.5"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1:23" ht="13.5"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2:23" ht="13.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2:23" ht="13.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</sheetData>
  <sheetProtection/>
  <printOptions/>
  <pageMargins left="0.75" right="0.75" top="1" bottom="1" header="0.512" footer="0.512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B16" sqref="B16"/>
    </sheetView>
  </sheetViews>
  <sheetFormatPr defaultColWidth="9.00390625" defaultRowHeight="13.5"/>
  <cols>
    <col min="2" max="2" width="16.125" style="0" customWidth="1"/>
    <col min="3" max="3" width="8.25390625" style="0" customWidth="1"/>
    <col min="4" max="4" width="6.625" style="0" customWidth="1"/>
    <col min="5" max="5" width="8.25390625" style="0" customWidth="1"/>
    <col min="6" max="6" width="12.50390625" style="0" customWidth="1"/>
    <col min="7" max="7" width="11.75390625" style="0" customWidth="1"/>
    <col min="9" max="9" width="20.50390625" style="0" customWidth="1"/>
    <col min="10" max="10" width="7.75390625" style="0" customWidth="1"/>
    <col min="11" max="11" width="7.25390625" style="0" customWidth="1"/>
    <col min="12" max="12" width="7.375" style="0" customWidth="1"/>
    <col min="13" max="13" width="12.50390625" style="0" customWidth="1"/>
    <col min="14" max="14" width="12.00390625" style="0" customWidth="1"/>
  </cols>
  <sheetData>
    <row r="1" spans="1:2" ht="13.5">
      <c r="A1" s="1" t="s">
        <v>0</v>
      </c>
      <c r="B1" s="1"/>
    </row>
    <row r="2" spans="1:14" ht="13.5">
      <c r="A2" s="1" t="s">
        <v>1</v>
      </c>
      <c r="B2" s="1"/>
      <c r="C2" s="1"/>
      <c r="D2" s="1"/>
      <c r="E2" s="1"/>
      <c r="F2" s="1"/>
      <c r="G2" s="1"/>
      <c r="H2" s="1" t="s">
        <v>54</v>
      </c>
      <c r="I2" s="1"/>
      <c r="J2" s="1"/>
      <c r="K2" s="1"/>
      <c r="L2" s="1"/>
      <c r="M2" s="1"/>
      <c r="N2" s="1"/>
    </row>
    <row r="3" spans="2:14" ht="13.5">
      <c r="B3" s="1" t="s">
        <v>3</v>
      </c>
      <c r="C3" s="1" t="s">
        <v>325</v>
      </c>
      <c r="D3" s="1" t="s">
        <v>4</v>
      </c>
      <c r="E3" s="1" t="s">
        <v>121</v>
      </c>
      <c r="F3" s="1" t="s">
        <v>5</v>
      </c>
      <c r="G3" s="1" t="s">
        <v>103</v>
      </c>
      <c r="I3" s="1" t="s">
        <v>3</v>
      </c>
      <c r="J3" s="1" t="s">
        <v>326</v>
      </c>
      <c r="K3" s="1" t="s">
        <v>4</v>
      </c>
      <c r="L3" s="1" t="s">
        <v>121</v>
      </c>
      <c r="M3" s="1" t="s">
        <v>5</v>
      </c>
      <c r="N3" s="1" t="s">
        <v>103</v>
      </c>
    </row>
    <row r="4" spans="2:14" ht="13.5">
      <c r="B4" s="12" t="s">
        <v>139</v>
      </c>
      <c r="C4" s="12">
        <v>830</v>
      </c>
      <c r="D4" s="12">
        <v>1</v>
      </c>
      <c r="E4" s="12">
        <f>C4*D4</f>
        <v>830</v>
      </c>
      <c r="F4" s="12">
        <v>830</v>
      </c>
      <c r="G4" s="12">
        <v>80</v>
      </c>
      <c r="H4" s="10"/>
      <c r="I4" s="12" t="s">
        <v>276</v>
      </c>
      <c r="J4" s="12">
        <v>760</v>
      </c>
      <c r="K4" s="12">
        <v>1</v>
      </c>
      <c r="L4" s="12">
        <f>J4*K4</f>
        <v>760</v>
      </c>
      <c r="M4" s="12">
        <v>760</v>
      </c>
      <c r="N4" s="12">
        <v>70</v>
      </c>
    </row>
    <row r="5" spans="2:14" ht="13.5">
      <c r="B5" s="12" t="s">
        <v>140</v>
      </c>
      <c r="C5" s="12">
        <f>830*2</f>
        <v>1660</v>
      </c>
      <c r="D5" s="12">
        <v>1</v>
      </c>
      <c r="E5" s="12">
        <f aca="true" t="shared" si="0" ref="E5:E23">C5*D5</f>
        <v>1660</v>
      </c>
      <c r="F5" s="12">
        <v>1660</v>
      </c>
      <c r="G5" s="12">
        <v>160</v>
      </c>
      <c r="H5" s="10"/>
      <c r="I5" s="12" t="s">
        <v>277</v>
      </c>
      <c r="J5" s="12">
        <f>760*2</f>
        <v>1520</v>
      </c>
      <c r="K5" s="12">
        <v>1</v>
      </c>
      <c r="L5" s="12">
        <f aca="true" t="shared" si="1" ref="L5:L23">J5*K5</f>
        <v>1520</v>
      </c>
      <c r="M5" s="12">
        <v>1520</v>
      </c>
      <c r="N5" s="12">
        <v>150</v>
      </c>
    </row>
    <row r="6" spans="2:14" ht="13.5">
      <c r="B6" s="12" t="s">
        <v>141</v>
      </c>
      <c r="C6" s="12">
        <f>830*3</f>
        <v>2490</v>
      </c>
      <c r="D6" s="12">
        <v>1</v>
      </c>
      <c r="E6" s="12">
        <f t="shared" si="0"/>
        <v>2490</v>
      </c>
      <c r="F6" s="12">
        <v>2490</v>
      </c>
      <c r="G6" s="12">
        <v>240</v>
      </c>
      <c r="H6" s="10"/>
      <c r="I6" s="12" t="s">
        <v>278</v>
      </c>
      <c r="J6" s="12">
        <f>760*3</f>
        <v>2280</v>
      </c>
      <c r="K6" s="12">
        <v>1</v>
      </c>
      <c r="L6" s="12">
        <f t="shared" si="1"/>
        <v>2280</v>
      </c>
      <c r="M6" s="12">
        <v>2280</v>
      </c>
      <c r="N6" s="12">
        <v>220</v>
      </c>
    </row>
    <row r="7" spans="2:14" ht="13.5">
      <c r="B7" s="12" t="s">
        <v>142</v>
      </c>
      <c r="C7" s="12">
        <f>830*4</f>
        <v>3320</v>
      </c>
      <c r="D7" s="12">
        <v>1</v>
      </c>
      <c r="E7" s="12">
        <f t="shared" si="0"/>
        <v>3320</v>
      </c>
      <c r="F7" s="12">
        <v>3320</v>
      </c>
      <c r="G7" s="12">
        <v>330</v>
      </c>
      <c r="H7" s="10"/>
      <c r="I7" s="12" t="s">
        <v>279</v>
      </c>
      <c r="J7" s="12">
        <f>760*4</f>
        <v>3040</v>
      </c>
      <c r="K7" s="12">
        <v>1</v>
      </c>
      <c r="L7" s="12">
        <f t="shared" si="1"/>
        <v>3040</v>
      </c>
      <c r="M7" s="12">
        <v>3040</v>
      </c>
      <c r="N7" s="12">
        <v>300</v>
      </c>
    </row>
    <row r="8" spans="2:14" ht="13.5">
      <c r="B8" s="12" t="s">
        <v>143</v>
      </c>
      <c r="C8" s="12">
        <f>830*5</f>
        <v>4150</v>
      </c>
      <c r="D8" s="12">
        <v>1</v>
      </c>
      <c r="E8" s="12">
        <f t="shared" si="0"/>
        <v>4150</v>
      </c>
      <c r="F8" s="12">
        <v>4150</v>
      </c>
      <c r="G8" s="12">
        <v>410</v>
      </c>
      <c r="H8" s="10"/>
      <c r="I8" s="12" t="s">
        <v>280</v>
      </c>
      <c r="J8" s="12">
        <f>760*5</f>
        <v>3800</v>
      </c>
      <c r="K8" s="12">
        <v>1</v>
      </c>
      <c r="L8" s="12">
        <f t="shared" si="1"/>
        <v>3800</v>
      </c>
      <c r="M8" s="12">
        <v>3800</v>
      </c>
      <c r="N8" s="12">
        <v>380</v>
      </c>
    </row>
    <row r="9" spans="2:14" ht="13.5">
      <c r="B9" s="12" t="s">
        <v>144</v>
      </c>
      <c r="C9" s="12">
        <f>830*6</f>
        <v>4980</v>
      </c>
      <c r="D9" s="12">
        <v>1</v>
      </c>
      <c r="E9" s="12">
        <f t="shared" si="0"/>
        <v>4980</v>
      </c>
      <c r="F9" s="12">
        <v>4980</v>
      </c>
      <c r="G9" s="12">
        <v>490</v>
      </c>
      <c r="H9" s="10"/>
      <c r="I9" s="12" t="s">
        <v>281</v>
      </c>
      <c r="J9" s="12">
        <f>760*6</f>
        <v>4560</v>
      </c>
      <c r="K9" s="12">
        <v>1</v>
      </c>
      <c r="L9" s="12">
        <f t="shared" si="1"/>
        <v>4560</v>
      </c>
      <c r="M9" s="12">
        <v>4560</v>
      </c>
      <c r="N9" s="12">
        <v>450</v>
      </c>
    </row>
    <row r="10" spans="2:14" ht="13.5">
      <c r="B10" s="12" t="s">
        <v>145</v>
      </c>
      <c r="C10" s="12">
        <f>830*7</f>
        <v>5810</v>
      </c>
      <c r="D10" s="12">
        <v>1</v>
      </c>
      <c r="E10" s="12">
        <f t="shared" si="0"/>
        <v>5810</v>
      </c>
      <c r="F10" s="12">
        <v>5810</v>
      </c>
      <c r="G10" s="12">
        <v>580</v>
      </c>
      <c r="H10" s="10"/>
      <c r="I10" s="12" t="s">
        <v>282</v>
      </c>
      <c r="J10" s="12">
        <f>760*7</f>
        <v>5320</v>
      </c>
      <c r="K10" s="12">
        <v>1</v>
      </c>
      <c r="L10" s="12">
        <f t="shared" si="1"/>
        <v>5320</v>
      </c>
      <c r="M10" s="12">
        <v>5320</v>
      </c>
      <c r="N10" s="12">
        <v>530</v>
      </c>
    </row>
    <row r="11" spans="2:14" ht="13.5">
      <c r="B11" s="12" t="s">
        <v>146</v>
      </c>
      <c r="C11" s="12">
        <f>830*8</f>
        <v>6640</v>
      </c>
      <c r="D11" s="12">
        <v>1</v>
      </c>
      <c r="E11" s="12">
        <f t="shared" si="0"/>
        <v>6640</v>
      </c>
      <c r="F11" s="12">
        <v>6640</v>
      </c>
      <c r="G11" s="12">
        <v>660</v>
      </c>
      <c r="H11" s="10"/>
      <c r="I11" s="12" t="s">
        <v>283</v>
      </c>
      <c r="J11" s="12">
        <f>760*8</f>
        <v>6080</v>
      </c>
      <c r="K11" s="12">
        <v>1</v>
      </c>
      <c r="L11" s="12">
        <f t="shared" si="1"/>
        <v>6080</v>
      </c>
      <c r="M11" s="12">
        <v>6080</v>
      </c>
      <c r="N11" s="12">
        <v>600</v>
      </c>
    </row>
    <row r="12" spans="2:14" ht="13.5">
      <c r="B12" s="12" t="s">
        <v>147</v>
      </c>
      <c r="C12" s="12">
        <f>830*9</f>
        <v>7470</v>
      </c>
      <c r="D12" s="12">
        <v>1</v>
      </c>
      <c r="E12" s="12">
        <f t="shared" si="0"/>
        <v>7470</v>
      </c>
      <c r="F12" s="12">
        <v>7470</v>
      </c>
      <c r="G12" s="12">
        <v>740</v>
      </c>
      <c r="H12" s="10"/>
      <c r="I12" s="12" t="s">
        <v>284</v>
      </c>
      <c r="J12" s="12">
        <f>760*9</f>
        <v>6840</v>
      </c>
      <c r="K12" s="12">
        <v>1</v>
      </c>
      <c r="L12" s="12">
        <f t="shared" si="1"/>
        <v>6840</v>
      </c>
      <c r="M12" s="12">
        <v>6840</v>
      </c>
      <c r="N12" s="12">
        <v>680</v>
      </c>
    </row>
    <row r="13" spans="2:14" ht="13.5">
      <c r="B13" s="12" t="s">
        <v>148</v>
      </c>
      <c r="C13" s="12">
        <f>830*10</f>
        <v>8300</v>
      </c>
      <c r="D13" s="12">
        <v>1</v>
      </c>
      <c r="E13" s="12">
        <f t="shared" si="0"/>
        <v>8300</v>
      </c>
      <c r="F13" s="12">
        <v>8300</v>
      </c>
      <c r="G13" s="12">
        <v>830</v>
      </c>
      <c r="H13" s="10"/>
      <c r="I13" s="12" t="s">
        <v>285</v>
      </c>
      <c r="J13" s="12">
        <f>760*10</f>
        <v>7600</v>
      </c>
      <c r="K13" s="12">
        <v>1</v>
      </c>
      <c r="L13" s="12">
        <f t="shared" si="1"/>
        <v>7600</v>
      </c>
      <c r="M13" s="12">
        <v>7600</v>
      </c>
      <c r="N13" s="12">
        <v>760</v>
      </c>
    </row>
    <row r="14" spans="2:14" ht="13.5">
      <c r="B14" s="12" t="s">
        <v>149</v>
      </c>
      <c r="C14" s="12">
        <f>830*11</f>
        <v>9130</v>
      </c>
      <c r="D14" s="12">
        <v>1</v>
      </c>
      <c r="E14" s="12">
        <f t="shared" si="0"/>
        <v>9130</v>
      </c>
      <c r="F14" s="12">
        <v>9130</v>
      </c>
      <c r="G14" s="12">
        <v>910</v>
      </c>
      <c r="H14" s="10"/>
      <c r="I14" s="12" t="s">
        <v>286</v>
      </c>
      <c r="J14" s="12">
        <f>760*11</f>
        <v>8360</v>
      </c>
      <c r="K14" s="12">
        <v>1</v>
      </c>
      <c r="L14" s="12">
        <f t="shared" si="1"/>
        <v>8360</v>
      </c>
      <c r="M14" s="12">
        <v>8360</v>
      </c>
      <c r="N14" s="12">
        <v>830</v>
      </c>
    </row>
    <row r="15" spans="2:14" ht="13.5">
      <c r="B15" s="12" t="s">
        <v>150</v>
      </c>
      <c r="C15" s="12">
        <f>830*12</f>
        <v>9960</v>
      </c>
      <c r="D15" s="12">
        <v>1</v>
      </c>
      <c r="E15" s="12">
        <f t="shared" si="0"/>
        <v>9960</v>
      </c>
      <c r="F15" s="12">
        <v>9960</v>
      </c>
      <c r="G15" s="12">
        <v>990</v>
      </c>
      <c r="H15" s="10"/>
      <c r="I15" s="12" t="s">
        <v>287</v>
      </c>
      <c r="J15" s="12">
        <f>760*12</f>
        <v>9120</v>
      </c>
      <c r="K15" s="12">
        <v>1</v>
      </c>
      <c r="L15" s="12">
        <f t="shared" si="1"/>
        <v>9120</v>
      </c>
      <c r="M15" s="12">
        <v>9120</v>
      </c>
      <c r="N15" s="12">
        <v>910</v>
      </c>
    </row>
    <row r="16" spans="2:14" ht="13.5">
      <c r="B16" s="12" t="s">
        <v>151</v>
      </c>
      <c r="C16" s="12">
        <f>830*13</f>
        <v>10790</v>
      </c>
      <c r="D16" s="12">
        <v>1</v>
      </c>
      <c r="E16" s="12">
        <f t="shared" si="0"/>
        <v>10790</v>
      </c>
      <c r="F16" s="12">
        <v>10790</v>
      </c>
      <c r="G16" s="12">
        <v>1070</v>
      </c>
      <c r="H16" s="10"/>
      <c r="I16" s="12" t="s">
        <v>288</v>
      </c>
      <c r="J16" s="12">
        <f>760*13</f>
        <v>9880</v>
      </c>
      <c r="K16" s="12">
        <v>1</v>
      </c>
      <c r="L16" s="12">
        <f t="shared" si="1"/>
        <v>9880</v>
      </c>
      <c r="M16" s="12">
        <v>9880</v>
      </c>
      <c r="N16" s="12">
        <v>980</v>
      </c>
    </row>
    <row r="17" spans="2:14" ht="13.5">
      <c r="B17" s="12" t="s">
        <v>152</v>
      </c>
      <c r="C17" s="12">
        <f>830*14</f>
        <v>11620</v>
      </c>
      <c r="D17" s="12">
        <v>1</v>
      </c>
      <c r="E17" s="12">
        <f t="shared" si="0"/>
        <v>11620</v>
      </c>
      <c r="F17" s="12">
        <v>11620</v>
      </c>
      <c r="G17" s="12">
        <v>1160</v>
      </c>
      <c r="H17" s="10"/>
      <c r="I17" s="12" t="s">
        <v>289</v>
      </c>
      <c r="J17" s="12">
        <f>760*14</f>
        <v>10640</v>
      </c>
      <c r="K17" s="12">
        <v>1</v>
      </c>
      <c r="L17" s="12">
        <f t="shared" si="1"/>
        <v>10640</v>
      </c>
      <c r="M17" s="12">
        <v>10640</v>
      </c>
      <c r="N17" s="12">
        <v>1060</v>
      </c>
    </row>
    <row r="18" spans="2:14" ht="13.5">
      <c r="B18" s="12" t="s">
        <v>153</v>
      </c>
      <c r="C18" s="12">
        <f>830*15</f>
        <v>12450</v>
      </c>
      <c r="D18" s="12">
        <v>1</v>
      </c>
      <c r="E18" s="12">
        <f t="shared" si="0"/>
        <v>12450</v>
      </c>
      <c r="F18" s="12">
        <v>12450</v>
      </c>
      <c r="G18" s="12">
        <v>1240</v>
      </c>
      <c r="H18" s="10"/>
      <c r="I18" s="12" t="s">
        <v>290</v>
      </c>
      <c r="J18" s="12">
        <f>760*15</f>
        <v>11400</v>
      </c>
      <c r="K18" s="12">
        <v>1</v>
      </c>
      <c r="L18" s="12">
        <f t="shared" si="1"/>
        <v>11400</v>
      </c>
      <c r="M18" s="12">
        <v>11400</v>
      </c>
      <c r="N18" s="12">
        <v>1140</v>
      </c>
    </row>
    <row r="19" spans="2:14" ht="13.5">
      <c r="B19" s="12" t="s">
        <v>154</v>
      </c>
      <c r="C19" s="12">
        <f>830*16</f>
        <v>13280</v>
      </c>
      <c r="D19" s="12">
        <v>1</v>
      </c>
      <c r="E19" s="12">
        <f t="shared" si="0"/>
        <v>13280</v>
      </c>
      <c r="F19" s="12">
        <v>13280</v>
      </c>
      <c r="G19" s="12">
        <v>1320</v>
      </c>
      <c r="H19" s="10"/>
      <c r="I19" s="12" t="s">
        <v>291</v>
      </c>
      <c r="J19" s="12">
        <f>760*16</f>
        <v>12160</v>
      </c>
      <c r="K19" s="12">
        <v>1</v>
      </c>
      <c r="L19" s="12">
        <f t="shared" si="1"/>
        <v>12160</v>
      </c>
      <c r="M19" s="12">
        <v>12160</v>
      </c>
      <c r="N19" s="12">
        <v>1210</v>
      </c>
    </row>
    <row r="20" spans="2:14" ht="13.5">
      <c r="B20" s="12" t="s">
        <v>155</v>
      </c>
      <c r="C20" s="12">
        <f>830*17</f>
        <v>14110</v>
      </c>
      <c r="D20" s="12">
        <v>1</v>
      </c>
      <c r="E20" s="12">
        <f t="shared" si="0"/>
        <v>14110</v>
      </c>
      <c r="F20" s="12">
        <v>14110</v>
      </c>
      <c r="G20" s="12">
        <v>1410</v>
      </c>
      <c r="H20" s="10"/>
      <c r="I20" s="12" t="s">
        <v>292</v>
      </c>
      <c r="J20" s="12">
        <f>760*17</f>
        <v>12920</v>
      </c>
      <c r="K20" s="12">
        <v>1</v>
      </c>
      <c r="L20" s="12">
        <f t="shared" si="1"/>
        <v>12920</v>
      </c>
      <c r="M20" s="12">
        <v>12920</v>
      </c>
      <c r="N20" s="12">
        <v>1290</v>
      </c>
    </row>
    <row r="21" spans="2:14" ht="13.5">
      <c r="B21" s="12" t="s">
        <v>156</v>
      </c>
      <c r="C21" s="12">
        <f>830*18</f>
        <v>14940</v>
      </c>
      <c r="D21" s="12">
        <v>1</v>
      </c>
      <c r="E21" s="12">
        <f t="shared" si="0"/>
        <v>14940</v>
      </c>
      <c r="F21" s="12">
        <v>14940</v>
      </c>
      <c r="G21" s="12">
        <v>1490</v>
      </c>
      <c r="H21" s="10"/>
      <c r="I21" s="12" t="s">
        <v>293</v>
      </c>
      <c r="J21" s="12">
        <f>760*18</f>
        <v>13680</v>
      </c>
      <c r="K21" s="12">
        <v>1</v>
      </c>
      <c r="L21" s="12">
        <f t="shared" si="1"/>
        <v>13680</v>
      </c>
      <c r="M21" s="12">
        <v>13680</v>
      </c>
      <c r="N21" s="12">
        <v>1360</v>
      </c>
    </row>
    <row r="22" spans="2:14" ht="13.5">
      <c r="B22" s="12" t="s">
        <v>157</v>
      </c>
      <c r="C22" s="12">
        <f>830*19</f>
        <v>15770</v>
      </c>
      <c r="D22" s="12">
        <v>1</v>
      </c>
      <c r="E22" s="12">
        <f t="shared" si="0"/>
        <v>15770</v>
      </c>
      <c r="F22" s="12">
        <v>15770</v>
      </c>
      <c r="G22" s="12">
        <v>1570</v>
      </c>
      <c r="H22" s="10"/>
      <c r="I22" s="12" t="s">
        <v>294</v>
      </c>
      <c r="J22" s="12">
        <f>760*19</f>
        <v>14440</v>
      </c>
      <c r="K22" s="12">
        <v>1</v>
      </c>
      <c r="L22" s="12">
        <f t="shared" si="1"/>
        <v>14440</v>
      </c>
      <c r="M22" s="12">
        <v>14440</v>
      </c>
      <c r="N22" s="12">
        <v>1440</v>
      </c>
    </row>
    <row r="23" spans="2:14" ht="13.5">
      <c r="B23" s="12" t="s">
        <v>158</v>
      </c>
      <c r="C23" s="12">
        <f>830*20</f>
        <v>16600</v>
      </c>
      <c r="D23" s="12">
        <v>1</v>
      </c>
      <c r="E23" s="12">
        <f t="shared" si="0"/>
        <v>16600</v>
      </c>
      <c r="F23" s="12">
        <v>16600</v>
      </c>
      <c r="G23" s="12">
        <v>1660</v>
      </c>
      <c r="H23" s="10"/>
      <c r="I23" s="12" t="s">
        <v>295</v>
      </c>
      <c r="J23" s="12">
        <f>760*20</f>
        <v>15200</v>
      </c>
      <c r="K23" s="12">
        <v>1</v>
      </c>
      <c r="L23" s="12">
        <f t="shared" si="1"/>
        <v>15200</v>
      </c>
      <c r="M23" s="12">
        <v>15200</v>
      </c>
      <c r="N23" s="12">
        <v>1520</v>
      </c>
    </row>
    <row r="24" spans="2:14" ht="13.5">
      <c r="B24" s="1" t="s">
        <v>159</v>
      </c>
      <c r="C24" s="1">
        <v>830</v>
      </c>
      <c r="D24" s="1">
        <v>1.25</v>
      </c>
      <c r="E24" s="1">
        <f>C24*D24</f>
        <v>1037.5</v>
      </c>
      <c r="F24" s="1">
        <v>1030</v>
      </c>
      <c r="G24" s="1">
        <v>100</v>
      </c>
      <c r="H24" s="10"/>
      <c r="I24" s="1" t="s">
        <v>296</v>
      </c>
      <c r="J24" s="1">
        <v>760</v>
      </c>
      <c r="K24" s="1">
        <v>1.25</v>
      </c>
      <c r="L24" s="1">
        <f>J24*K24</f>
        <v>950</v>
      </c>
      <c r="M24" s="1">
        <v>950</v>
      </c>
      <c r="N24" s="1">
        <v>90</v>
      </c>
    </row>
    <row r="25" spans="2:14" ht="13.5">
      <c r="B25" s="1" t="s">
        <v>160</v>
      </c>
      <c r="C25" s="1">
        <f>830*2</f>
        <v>1660</v>
      </c>
      <c r="D25" s="1">
        <v>1.25</v>
      </c>
      <c r="E25" s="1">
        <f aca="true" t="shared" si="2" ref="E25:E35">C25*D25</f>
        <v>2075</v>
      </c>
      <c r="F25" s="1">
        <v>2070</v>
      </c>
      <c r="G25" s="1">
        <v>200</v>
      </c>
      <c r="H25" s="10"/>
      <c r="I25" s="1" t="s">
        <v>297</v>
      </c>
      <c r="J25" s="1">
        <f>760*2</f>
        <v>1520</v>
      </c>
      <c r="K25" s="1">
        <v>1.25</v>
      </c>
      <c r="L25" s="1">
        <f aca="true" t="shared" si="3" ref="L25:L35">J25*K25</f>
        <v>1900</v>
      </c>
      <c r="M25" s="1">
        <v>1900</v>
      </c>
      <c r="N25" s="1">
        <v>190</v>
      </c>
    </row>
    <row r="26" spans="2:14" ht="13.5">
      <c r="B26" s="1" t="s">
        <v>161</v>
      </c>
      <c r="C26" s="1">
        <f>830*3</f>
        <v>2490</v>
      </c>
      <c r="D26" s="1">
        <v>1.25</v>
      </c>
      <c r="E26" s="1">
        <f t="shared" si="2"/>
        <v>3112.5</v>
      </c>
      <c r="F26" s="1">
        <v>3110</v>
      </c>
      <c r="G26" s="1">
        <v>310</v>
      </c>
      <c r="H26" s="10"/>
      <c r="I26" s="1" t="s">
        <v>298</v>
      </c>
      <c r="J26" s="1">
        <f>760*3</f>
        <v>2280</v>
      </c>
      <c r="K26" s="1">
        <v>1.25</v>
      </c>
      <c r="L26" s="1">
        <f t="shared" si="3"/>
        <v>2850</v>
      </c>
      <c r="M26" s="1">
        <v>2850</v>
      </c>
      <c r="N26" s="1">
        <v>280</v>
      </c>
    </row>
    <row r="27" spans="2:14" ht="13.5">
      <c r="B27" s="1" t="s">
        <v>162</v>
      </c>
      <c r="C27" s="1">
        <f>830*4</f>
        <v>3320</v>
      </c>
      <c r="D27" s="1">
        <v>1.25</v>
      </c>
      <c r="E27" s="1">
        <f t="shared" si="2"/>
        <v>4150</v>
      </c>
      <c r="F27" s="1">
        <v>4150</v>
      </c>
      <c r="G27" s="1">
        <v>410</v>
      </c>
      <c r="H27" s="10"/>
      <c r="I27" s="1" t="s">
        <v>299</v>
      </c>
      <c r="J27" s="1">
        <f>760*4</f>
        <v>3040</v>
      </c>
      <c r="K27" s="1">
        <v>1.25</v>
      </c>
      <c r="L27" s="1">
        <f t="shared" si="3"/>
        <v>3800</v>
      </c>
      <c r="M27" s="1">
        <v>3800</v>
      </c>
      <c r="N27" s="1">
        <v>380</v>
      </c>
    </row>
    <row r="28" spans="2:14" ht="13.5">
      <c r="B28" s="1" t="s">
        <v>163</v>
      </c>
      <c r="C28" s="1">
        <f>830*5</f>
        <v>4150</v>
      </c>
      <c r="D28" s="1">
        <v>1.25</v>
      </c>
      <c r="E28" s="1">
        <f t="shared" si="2"/>
        <v>5187.5</v>
      </c>
      <c r="F28" s="1">
        <v>5180</v>
      </c>
      <c r="G28" s="1">
        <v>510</v>
      </c>
      <c r="H28" s="10"/>
      <c r="I28" s="1" t="s">
        <v>300</v>
      </c>
      <c r="J28" s="1">
        <f>760*5</f>
        <v>3800</v>
      </c>
      <c r="K28" s="1">
        <v>1.25</v>
      </c>
      <c r="L28" s="1">
        <f t="shared" si="3"/>
        <v>4750</v>
      </c>
      <c r="M28" s="1">
        <v>4750</v>
      </c>
      <c r="N28" s="1">
        <v>470</v>
      </c>
    </row>
    <row r="29" spans="2:14" ht="13.5">
      <c r="B29" s="1" t="s">
        <v>164</v>
      </c>
      <c r="C29" s="1">
        <f>830*6</f>
        <v>4980</v>
      </c>
      <c r="D29" s="1">
        <v>1.25</v>
      </c>
      <c r="E29" s="1">
        <f t="shared" si="2"/>
        <v>6225</v>
      </c>
      <c r="F29" s="1">
        <v>6220</v>
      </c>
      <c r="G29" s="1">
        <v>620</v>
      </c>
      <c r="H29" s="10"/>
      <c r="I29" s="1" t="s">
        <v>301</v>
      </c>
      <c r="J29" s="1">
        <f>760*6</f>
        <v>4560</v>
      </c>
      <c r="K29" s="1">
        <v>1.25</v>
      </c>
      <c r="L29" s="1">
        <f t="shared" si="3"/>
        <v>5700</v>
      </c>
      <c r="M29" s="1">
        <v>5700</v>
      </c>
      <c r="N29" s="1">
        <v>570</v>
      </c>
    </row>
    <row r="30" spans="2:14" ht="13.5">
      <c r="B30" s="1" t="s">
        <v>165</v>
      </c>
      <c r="C30" s="1">
        <f>830*7</f>
        <v>5810</v>
      </c>
      <c r="D30" s="1">
        <v>1.25</v>
      </c>
      <c r="E30" s="1">
        <f t="shared" si="2"/>
        <v>7262.5</v>
      </c>
      <c r="F30" s="1">
        <v>7260</v>
      </c>
      <c r="G30" s="1">
        <v>720</v>
      </c>
      <c r="H30" s="10"/>
      <c r="I30" s="1" t="s">
        <v>302</v>
      </c>
      <c r="J30" s="1">
        <f>760*7</f>
        <v>5320</v>
      </c>
      <c r="K30" s="1">
        <v>1.25</v>
      </c>
      <c r="L30" s="1">
        <f t="shared" si="3"/>
        <v>6650</v>
      </c>
      <c r="M30" s="1">
        <v>6650</v>
      </c>
      <c r="N30" s="1">
        <v>660</v>
      </c>
    </row>
    <row r="31" spans="2:14" ht="13.5">
      <c r="B31" s="1" t="s">
        <v>166</v>
      </c>
      <c r="C31" s="1">
        <f>830*8</f>
        <v>6640</v>
      </c>
      <c r="D31" s="1">
        <v>1.25</v>
      </c>
      <c r="E31" s="1">
        <f t="shared" si="2"/>
        <v>8300</v>
      </c>
      <c r="F31" s="1">
        <v>8300</v>
      </c>
      <c r="G31" s="1">
        <v>830</v>
      </c>
      <c r="H31" s="10"/>
      <c r="I31" s="1" t="s">
        <v>303</v>
      </c>
      <c r="J31" s="1">
        <f>760*8</f>
        <v>6080</v>
      </c>
      <c r="K31" s="1">
        <v>1.25</v>
      </c>
      <c r="L31" s="1">
        <f t="shared" si="3"/>
        <v>7600</v>
      </c>
      <c r="M31" s="1">
        <v>7600</v>
      </c>
      <c r="N31" s="1">
        <v>760</v>
      </c>
    </row>
    <row r="32" spans="2:14" ht="13.5">
      <c r="B32" s="1" t="s">
        <v>167</v>
      </c>
      <c r="C32" s="1">
        <f>830*9</f>
        <v>7470</v>
      </c>
      <c r="D32" s="1">
        <v>1.25</v>
      </c>
      <c r="E32" s="1">
        <f t="shared" si="2"/>
        <v>9337.5</v>
      </c>
      <c r="F32" s="1">
        <v>9330</v>
      </c>
      <c r="G32" s="1">
        <v>930</v>
      </c>
      <c r="H32" s="10"/>
      <c r="I32" s="1" t="s">
        <v>304</v>
      </c>
      <c r="J32" s="1">
        <f>760*9</f>
        <v>6840</v>
      </c>
      <c r="K32" s="1">
        <v>1.25</v>
      </c>
      <c r="L32" s="1">
        <f t="shared" si="3"/>
        <v>8550</v>
      </c>
      <c r="M32" s="1">
        <v>8550</v>
      </c>
      <c r="N32" s="1">
        <v>850</v>
      </c>
    </row>
    <row r="33" spans="2:14" ht="13.5">
      <c r="B33" s="1" t="s">
        <v>168</v>
      </c>
      <c r="C33" s="1">
        <f>830*10</f>
        <v>8300</v>
      </c>
      <c r="D33" s="1">
        <v>1.25</v>
      </c>
      <c r="E33" s="1">
        <f t="shared" si="2"/>
        <v>10375</v>
      </c>
      <c r="F33" s="1">
        <v>10370</v>
      </c>
      <c r="G33" s="1">
        <v>1030</v>
      </c>
      <c r="H33" s="10"/>
      <c r="I33" s="1" t="s">
        <v>305</v>
      </c>
      <c r="J33" s="1">
        <f>760*10</f>
        <v>7600</v>
      </c>
      <c r="K33" s="1">
        <v>1.25</v>
      </c>
      <c r="L33" s="1">
        <f t="shared" si="3"/>
        <v>9500</v>
      </c>
      <c r="M33" s="1">
        <v>9500</v>
      </c>
      <c r="N33" s="1">
        <v>950</v>
      </c>
    </row>
    <row r="34" spans="2:14" ht="13.5">
      <c r="B34" s="1" t="s">
        <v>169</v>
      </c>
      <c r="C34" s="1">
        <f>830*11</f>
        <v>9130</v>
      </c>
      <c r="D34" s="1">
        <v>1.25</v>
      </c>
      <c r="E34" s="1">
        <f t="shared" si="2"/>
        <v>11412.5</v>
      </c>
      <c r="F34" s="1">
        <v>11410</v>
      </c>
      <c r="G34" s="1">
        <v>1140</v>
      </c>
      <c r="H34" s="10"/>
      <c r="I34" s="1" t="s">
        <v>306</v>
      </c>
      <c r="J34" s="1">
        <f>760*11</f>
        <v>8360</v>
      </c>
      <c r="K34" s="1">
        <v>1.25</v>
      </c>
      <c r="L34" s="1">
        <f t="shared" si="3"/>
        <v>10450</v>
      </c>
      <c r="M34" s="1">
        <v>10450</v>
      </c>
      <c r="N34" s="1">
        <v>1040</v>
      </c>
    </row>
    <row r="35" spans="2:14" ht="13.5">
      <c r="B35" s="1" t="s">
        <v>170</v>
      </c>
      <c r="C35" s="1">
        <f>830*12</f>
        <v>9960</v>
      </c>
      <c r="D35" s="1">
        <v>1.25</v>
      </c>
      <c r="E35" s="1">
        <f t="shared" si="2"/>
        <v>12450</v>
      </c>
      <c r="F35" s="1">
        <v>12450</v>
      </c>
      <c r="G35" s="1">
        <v>1240</v>
      </c>
      <c r="H35" s="10"/>
      <c r="I35" s="1" t="s">
        <v>307</v>
      </c>
      <c r="J35" s="1">
        <f>760*12</f>
        <v>9120</v>
      </c>
      <c r="K35" s="1">
        <v>1.25</v>
      </c>
      <c r="L35" s="1">
        <f t="shared" si="3"/>
        <v>11400</v>
      </c>
      <c r="M35" s="1">
        <v>11400</v>
      </c>
      <c r="N35" s="1">
        <v>1140</v>
      </c>
    </row>
    <row r="36" spans="2:14" ht="13.5">
      <c r="B36" s="11" t="s">
        <v>171</v>
      </c>
      <c r="C36" s="11">
        <v>830</v>
      </c>
      <c r="D36" s="11">
        <v>1.5</v>
      </c>
      <c r="E36" s="11">
        <f>C36*D36</f>
        <v>1245</v>
      </c>
      <c r="F36" s="11">
        <v>1240</v>
      </c>
      <c r="G36" s="11">
        <v>120</v>
      </c>
      <c r="H36" s="10"/>
      <c r="I36" s="11" t="s">
        <v>308</v>
      </c>
      <c r="J36" s="11">
        <v>760</v>
      </c>
      <c r="K36" s="11">
        <v>1.5</v>
      </c>
      <c r="L36" s="11">
        <f>J36*K36</f>
        <v>1140</v>
      </c>
      <c r="M36" s="11">
        <v>1140</v>
      </c>
      <c r="N36" s="11">
        <v>110</v>
      </c>
    </row>
    <row r="37" spans="2:14" ht="13.5">
      <c r="B37" s="11" t="s">
        <v>172</v>
      </c>
      <c r="C37" s="11">
        <f>830*2</f>
        <v>1660</v>
      </c>
      <c r="D37" s="11">
        <v>1.5</v>
      </c>
      <c r="E37" s="11">
        <f aca="true" t="shared" si="4" ref="E37:E51">C37*D37</f>
        <v>2490</v>
      </c>
      <c r="F37" s="11">
        <v>2490</v>
      </c>
      <c r="G37" s="11">
        <v>240</v>
      </c>
      <c r="H37" s="10"/>
      <c r="I37" s="11" t="s">
        <v>309</v>
      </c>
      <c r="J37" s="11">
        <f>760*2</f>
        <v>1520</v>
      </c>
      <c r="K37" s="11">
        <v>1.5</v>
      </c>
      <c r="L37" s="11">
        <f aca="true" t="shared" si="5" ref="L37:L51">J37*K37</f>
        <v>2280</v>
      </c>
      <c r="M37" s="11">
        <v>2280</v>
      </c>
      <c r="N37" s="11">
        <v>220</v>
      </c>
    </row>
    <row r="38" spans="2:14" ht="13.5">
      <c r="B38" s="11" t="s">
        <v>173</v>
      </c>
      <c r="C38" s="11">
        <f>830*3</f>
        <v>2490</v>
      </c>
      <c r="D38" s="11">
        <v>1.5</v>
      </c>
      <c r="E38" s="11">
        <f t="shared" si="4"/>
        <v>3735</v>
      </c>
      <c r="F38" s="11">
        <v>3730</v>
      </c>
      <c r="G38" s="11">
        <v>370</v>
      </c>
      <c r="H38" s="10"/>
      <c r="I38" s="11" t="s">
        <v>310</v>
      </c>
      <c r="J38" s="11">
        <f>760*3</f>
        <v>2280</v>
      </c>
      <c r="K38" s="11">
        <v>1.5</v>
      </c>
      <c r="L38" s="11">
        <f t="shared" si="5"/>
        <v>3420</v>
      </c>
      <c r="M38" s="11">
        <v>3420</v>
      </c>
      <c r="N38" s="11">
        <v>340</v>
      </c>
    </row>
    <row r="39" spans="2:14" ht="13.5">
      <c r="B39" s="11" t="s">
        <v>174</v>
      </c>
      <c r="C39" s="11">
        <f>830*4</f>
        <v>3320</v>
      </c>
      <c r="D39" s="11">
        <v>1.5</v>
      </c>
      <c r="E39" s="11">
        <f t="shared" si="4"/>
        <v>4980</v>
      </c>
      <c r="F39" s="11">
        <v>4980</v>
      </c>
      <c r="G39" s="11">
        <v>490</v>
      </c>
      <c r="H39" s="10"/>
      <c r="I39" s="11" t="s">
        <v>311</v>
      </c>
      <c r="J39" s="11">
        <f>760*4</f>
        <v>3040</v>
      </c>
      <c r="K39" s="11">
        <v>1.5</v>
      </c>
      <c r="L39" s="11">
        <f t="shared" si="5"/>
        <v>4560</v>
      </c>
      <c r="M39" s="11">
        <v>4560</v>
      </c>
      <c r="N39" s="11">
        <v>450</v>
      </c>
    </row>
    <row r="40" spans="2:14" ht="13.5">
      <c r="B40" s="11" t="s">
        <v>175</v>
      </c>
      <c r="C40" s="11">
        <f>830*5</f>
        <v>4150</v>
      </c>
      <c r="D40" s="11">
        <v>1.5</v>
      </c>
      <c r="E40" s="11">
        <f t="shared" si="4"/>
        <v>6225</v>
      </c>
      <c r="F40" s="11">
        <v>6220</v>
      </c>
      <c r="G40" s="11">
        <v>620</v>
      </c>
      <c r="H40" s="10"/>
      <c r="I40" s="11" t="s">
        <v>312</v>
      </c>
      <c r="J40" s="11">
        <f>760*5</f>
        <v>3800</v>
      </c>
      <c r="K40" s="11">
        <v>1.5</v>
      </c>
      <c r="L40" s="11">
        <f t="shared" si="5"/>
        <v>5700</v>
      </c>
      <c r="M40" s="11">
        <v>5700</v>
      </c>
      <c r="N40" s="11">
        <v>570</v>
      </c>
    </row>
    <row r="41" spans="2:14" ht="13.5">
      <c r="B41" s="11" t="s">
        <v>176</v>
      </c>
      <c r="C41" s="11">
        <f>830*6</f>
        <v>4980</v>
      </c>
      <c r="D41" s="11">
        <v>1.5</v>
      </c>
      <c r="E41" s="11">
        <f t="shared" si="4"/>
        <v>7470</v>
      </c>
      <c r="F41" s="11">
        <v>7470</v>
      </c>
      <c r="G41" s="11">
        <v>740</v>
      </c>
      <c r="H41" s="10"/>
      <c r="I41" s="11" t="s">
        <v>313</v>
      </c>
      <c r="J41" s="11">
        <f>760*6</f>
        <v>4560</v>
      </c>
      <c r="K41" s="11">
        <v>1.5</v>
      </c>
      <c r="L41" s="11">
        <f t="shared" si="5"/>
        <v>6840</v>
      </c>
      <c r="M41" s="11">
        <v>6840</v>
      </c>
      <c r="N41" s="11">
        <v>680</v>
      </c>
    </row>
    <row r="42" spans="2:14" ht="13.5">
      <c r="B42" s="11" t="s">
        <v>177</v>
      </c>
      <c r="C42" s="11">
        <f>830*7</f>
        <v>5810</v>
      </c>
      <c r="D42" s="11">
        <v>1.5</v>
      </c>
      <c r="E42" s="11">
        <f t="shared" si="4"/>
        <v>8715</v>
      </c>
      <c r="F42" s="11">
        <v>8710</v>
      </c>
      <c r="G42" s="11">
        <v>870</v>
      </c>
      <c r="H42" s="10"/>
      <c r="I42" s="11" t="s">
        <v>314</v>
      </c>
      <c r="J42" s="11">
        <f>760*7</f>
        <v>5320</v>
      </c>
      <c r="K42" s="11">
        <v>1.5</v>
      </c>
      <c r="L42" s="11">
        <f t="shared" si="5"/>
        <v>7980</v>
      </c>
      <c r="M42" s="11">
        <v>7980</v>
      </c>
      <c r="N42" s="11">
        <v>790</v>
      </c>
    </row>
    <row r="43" spans="2:14" ht="13.5">
      <c r="B43" s="11" t="s">
        <v>178</v>
      </c>
      <c r="C43" s="11">
        <f>830*8</f>
        <v>6640</v>
      </c>
      <c r="D43" s="11">
        <v>1.5</v>
      </c>
      <c r="E43" s="11">
        <f t="shared" si="4"/>
        <v>9960</v>
      </c>
      <c r="F43" s="11">
        <v>9960</v>
      </c>
      <c r="G43" s="11">
        <v>990</v>
      </c>
      <c r="H43" s="10"/>
      <c r="I43" s="11" t="s">
        <v>315</v>
      </c>
      <c r="J43" s="11">
        <f>760*8</f>
        <v>6080</v>
      </c>
      <c r="K43" s="11">
        <v>1.5</v>
      </c>
      <c r="L43" s="11">
        <f t="shared" si="5"/>
        <v>9120</v>
      </c>
      <c r="M43" s="11">
        <v>9120</v>
      </c>
      <c r="N43" s="11">
        <v>910</v>
      </c>
    </row>
    <row r="44" spans="2:14" ht="13.5">
      <c r="B44" s="11" t="s">
        <v>179</v>
      </c>
      <c r="C44" s="11">
        <f>830*9</f>
        <v>7470</v>
      </c>
      <c r="D44" s="11">
        <v>1.5</v>
      </c>
      <c r="E44" s="11">
        <f t="shared" si="4"/>
        <v>11205</v>
      </c>
      <c r="F44" s="11">
        <v>11200</v>
      </c>
      <c r="G44" s="11">
        <v>1120</v>
      </c>
      <c r="H44" s="10"/>
      <c r="I44" s="11" t="s">
        <v>316</v>
      </c>
      <c r="J44" s="11">
        <f>760*9</f>
        <v>6840</v>
      </c>
      <c r="K44" s="11">
        <v>1.5</v>
      </c>
      <c r="L44" s="11">
        <f t="shared" si="5"/>
        <v>10260</v>
      </c>
      <c r="M44" s="11">
        <v>10260</v>
      </c>
      <c r="N44" s="11">
        <v>1020</v>
      </c>
    </row>
    <row r="45" spans="2:14" ht="13.5">
      <c r="B45" s="11" t="s">
        <v>180</v>
      </c>
      <c r="C45" s="11">
        <f>830*10</f>
        <v>8300</v>
      </c>
      <c r="D45" s="11">
        <v>1.5</v>
      </c>
      <c r="E45" s="11">
        <f t="shared" si="4"/>
        <v>12450</v>
      </c>
      <c r="F45" s="11">
        <v>12450</v>
      </c>
      <c r="G45" s="11">
        <v>1240</v>
      </c>
      <c r="H45" s="10"/>
      <c r="I45" s="11" t="s">
        <v>317</v>
      </c>
      <c r="J45" s="11">
        <f>760*10</f>
        <v>7600</v>
      </c>
      <c r="K45" s="11">
        <v>1.5</v>
      </c>
      <c r="L45" s="11">
        <f t="shared" si="5"/>
        <v>11400</v>
      </c>
      <c r="M45" s="11">
        <v>11400</v>
      </c>
      <c r="N45" s="11">
        <v>1140</v>
      </c>
    </row>
    <row r="46" spans="2:14" ht="13.5">
      <c r="B46" s="11" t="s">
        <v>181</v>
      </c>
      <c r="C46" s="11">
        <f>830*11</f>
        <v>9130</v>
      </c>
      <c r="D46" s="11">
        <v>1.5</v>
      </c>
      <c r="E46" s="11">
        <f t="shared" si="4"/>
        <v>13695</v>
      </c>
      <c r="F46" s="11">
        <v>13690</v>
      </c>
      <c r="G46" s="11">
        <v>1360</v>
      </c>
      <c r="H46" s="10"/>
      <c r="I46" s="11" t="s">
        <v>318</v>
      </c>
      <c r="J46" s="11">
        <f>760*11</f>
        <v>8360</v>
      </c>
      <c r="K46" s="11">
        <v>1.5</v>
      </c>
      <c r="L46" s="11">
        <f t="shared" si="5"/>
        <v>12540</v>
      </c>
      <c r="M46" s="11">
        <v>12540</v>
      </c>
      <c r="N46" s="11">
        <v>1250</v>
      </c>
    </row>
    <row r="47" spans="2:14" ht="13.5">
      <c r="B47" s="11" t="s">
        <v>182</v>
      </c>
      <c r="C47" s="11">
        <f>830*12</f>
        <v>9960</v>
      </c>
      <c r="D47" s="11">
        <v>1.5</v>
      </c>
      <c r="E47" s="11">
        <f t="shared" si="4"/>
        <v>14940</v>
      </c>
      <c r="F47" s="11">
        <v>14940</v>
      </c>
      <c r="G47" s="11">
        <v>1490</v>
      </c>
      <c r="H47" s="10"/>
      <c r="I47" s="11" t="s">
        <v>319</v>
      </c>
      <c r="J47" s="11">
        <f>760*12</f>
        <v>9120</v>
      </c>
      <c r="K47" s="11">
        <v>1.5</v>
      </c>
      <c r="L47" s="11">
        <f t="shared" si="5"/>
        <v>13680</v>
      </c>
      <c r="M47" s="11">
        <v>13680</v>
      </c>
      <c r="N47" s="11">
        <v>1360</v>
      </c>
    </row>
    <row r="48" spans="2:14" ht="13.5">
      <c r="B48" s="11" t="s">
        <v>183</v>
      </c>
      <c r="C48" s="11">
        <f>830*13</f>
        <v>10790</v>
      </c>
      <c r="D48" s="11">
        <v>1.5</v>
      </c>
      <c r="E48" s="11">
        <f t="shared" si="4"/>
        <v>16185</v>
      </c>
      <c r="F48" s="11">
        <v>16180</v>
      </c>
      <c r="G48" s="11">
        <v>1610</v>
      </c>
      <c r="H48" s="10"/>
      <c r="I48" s="11" t="s">
        <v>320</v>
      </c>
      <c r="J48" s="11">
        <f>760*13</f>
        <v>9880</v>
      </c>
      <c r="K48" s="11">
        <v>1.5</v>
      </c>
      <c r="L48" s="11">
        <f t="shared" si="5"/>
        <v>14820</v>
      </c>
      <c r="M48" s="11">
        <v>14820</v>
      </c>
      <c r="N48" s="11">
        <v>1480</v>
      </c>
    </row>
    <row r="49" spans="2:14" ht="13.5">
      <c r="B49" s="11" t="s">
        <v>184</v>
      </c>
      <c r="C49" s="11">
        <f>830*14</f>
        <v>11620</v>
      </c>
      <c r="D49" s="11">
        <v>1.5</v>
      </c>
      <c r="E49" s="11">
        <f t="shared" si="4"/>
        <v>17430</v>
      </c>
      <c r="F49" s="11">
        <v>17430</v>
      </c>
      <c r="G49" s="11">
        <v>1740</v>
      </c>
      <c r="H49" s="10"/>
      <c r="I49" s="11" t="s">
        <v>321</v>
      </c>
      <c r="J49" s="11">
        <f>760*14</f>
        <v>10640</v>
      </c>
      <c r="K49" s="11">
        <v>1.5</v>
      </c>
      <c r="L49" s="11">
        <f t="shared" si="5"/>
        <v>15960</v>
      </c>
      <c r="M49" s="11">
        <v>15960</v>
      </c>
      <c r="N49" s="11">
        <v>1590</v>
      </c>
    </row>
    <row r="50" spans="2:14" ht="13.5">
      <c r="B50" s="11" t="s">
        <v>185</v>
      </c>
      <c r="C50" s="11">
        <f>830*15</f>
        <v>12450</v>
      </c>
      <c r="D50" s="11">
        <v>1.5</v>
      </c>
      <c r="E50" s="11">
        <f t="shared" si="4"/>
        <v>18675</v>
      </c>
      <c r="F50" s="11">
        <v>18670</v>
      </c>
      <c r="G50" s="11">
        <v>1860</v>
      </c>
      <c r="H50" s="10"/>
      <c r="I50" s="11" t="s">
        <v>322</v>
      </c>
      <c r="J50" s="11">
        <f>760*15</f>
        <v>11400</v>
      </c>
      <c r="K50" s="11">
        <v>1.5</v>
      </c>
      <c r="L50" s="11">
        <f t="shared" si="5"/>
        <v>17100</v>
      </c>
      <c r="M50" s="11">
        <v>17100</v>
      </c>
      <c r="N50" s="11">
        <v>1710</v>
      </c>
    </row>
    <row r="51" spans="2:14" ht="13.5">
      <c r="B51" s="11" t="s">
        <v>186</v>
      </c>
      <c r="C51" s="11">
        <f>830*16</f>
        <v>13280</v>
      </c>
      <c r="D51" s="11">
        <v>1.5</v>
      </c>
      <c r="E51" s="11">
        <f t="shared" si="4"/>
        <v>19920</v>
      </c>
      <c r="F51" s="11">
        <v>19920</v>
      </c>
      <c r="G51" s="11">
        <v>1990</v>
      </c>
      <c r="H51" s="10"/>
      <c r="I51" s="11" t="s">
        <v>323</v>
      </c>
      <c r="J51" s="11">
        <f>760*16</f>
        <v>12160</v>
      </c>
      <c r="K51" s="11">
        <v>1.5</v>
      </c>
      <c r="L51" s="11">
        <f t="shared" si="5"/>
        <v>18240</v>
      </c>
      <c r="M51" s="11">
        <v>18240</v>
      </c>
      <c r="N51" s="11">
        <v>1820</v>
      </c>
    </row>
    <row r="52" ht="13.5">
      <c r="B52" s="2" t="s">
        <v>105</v>
      </c>
    </row>
  </sheetData>
  <sheetProtection/>
  <printOptions/>
  <pageMargins left="0.75" right="0.75" top="1" bottom="1" header="0.512" footer="0.51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19880507</dc:creator>
  <cp:keywords/>
  <dc:description/>
  <cp:lastModifiedBy>ichikawa2018</cp:lastModifiedBy>
  <cp:lastPrinted>2019-06-21T02:07:42Z</cp:lastPrinted>
  <dcterms:created xsi:type="dcterms:W3CDTF">2006-09-29T04:02:09Z</dcterms:created>
  <dcterms:modified xsi:type="dcterms:W3CDTF">2019-12-23T05:34:43Z</dcterms:modified>
  <cp:category/>
  <cp:version/>
  <cp:contentType/>
  <cp:contentStatus/>
</cp:coreProperties>
</file>